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1" activeTab="10"/>
  </bookViews>
  <sheets>
    <sheet name="Косшы" sheetId="2" r:id="rId1"/>
    <sheet name="1кв2019" sheetId="3" r:id="rId2"/>
    <sheet name="2кв2019" sheetId="4" r:id="rId3"/>
    <sheet name="3кв2019" sheetId="5" r:id="rId4"/>
    <sheet name="4кв2019" sheetId="7" r:id="rId5"/>
    <sheet name="Лист1" sheetId="8" r:id="rId6"/>
    <sheet name="1кв2020" sheetId="9" r:id="rId7"/>
    <sheet name="2кв2020" sheetId="10" r:id="rId8"/>
    <sheet name="3кв2020" sheetId="11" r:id="rId9"/>
    <sheet name="4кв2020" sheetId="12" r:id="rId10"/>
    <sheet name="1кв2021" sheetId="13" r:id="rId1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3"/>
  <c r="D30" l="1"/>
  <c r="C30"/>
  <c r="E33" l="1"/>
  <c r="D33" s="1"/>
  <c r="C33"/>
  <c r="C17"/>
  <c r="C20"/>
  <c r="C23"/>
  <c r="C26"/>
  <c r="C29"/>
  <c r="D17"/>
  <c r="D20"/>
  <c r="D23"/>
  <c r="D26"/>
  <c r="D29"/>
  <c r="D32" l="1"/>
  <c r="C32"/>
  <c r="D31"/>
  <c r="C31"/>
  <c r="E28"/>
  <c r="D28" s="1"/>
  <c r="C28"/>
  <c r="D27"/>
  <c r="C27"/>
  <c r="E25"/>
  <c r="D25" s="1"/>
  <c r="D24"/>
  <c r="C24"/>
  <c r="E22"/>
  <c r="D22" s="1"/>
  <c r="D21"/>
  <c r="C21"/>
  <c r="E19"/>
  <c r="D19" s="1"/>
  <c r="D18"/>
  <c r="C18"/>
  <c r="E15"/>
  <c r="E13" s="1"/>
  <c r="E12" s="1"/>
  <c r="D15"/>
  <c r="C15"/>
  <c r="C13" s="1"/>
  <c r="C12" s="1"/>
  <c r="E33" i="12"/>
  <c r="C33" s="1"/>
  <c r="D33"/>
  <c r="E30"/>
  <c r="D32"/>
  <c r="C32"/>
  <c r="D31"/>
  <c r="C31"/>
  <c r="D30"/>
  <c r="C30"/>
  <c r="E28"/>
  <c r="D28" s="1"/>
  <c r="D27"/>
  <c r="C27"/>
  <c r="E25"/>
  <c r="D25" s="1"/>
  <c r="D24"/>
  <c r="C24"/>
  <c r="E22"/>
  <c r="D22" s="1"/>
  <c r="D21"/>
  <c r="C21"/>
  <c r="E19"/>
  <c r="D19" s="1"/>
  <c r="D18"/>
  <c r="C18"/>
  <c r="E15"/>
  <c r="E13" s="1"/>
  <c r="E12" s="1"/>
  <c r="D15"/>
  <c r="D13" s="1"/>
  <c r="D12" s="1"/>
  <c r="C15"/>
  <c r="C33" i="11"/>
  <c r="D33"/>
  <c r="D32"/>
  <c r="C22" i="13" l="1"/>
  <c r="C25"/>
  <c r="C19"/>
  <c r="D13"/>
  <c r="D12" s="1"/>
  <c r="C13" i="12"/>
  <c r="C12" s="1"/>
  <c r="C19"/>
  <c r="C22"/>
  <c r="C28"/>
  <c r="C25"/>
  <c r="C32" i="11"/>
  <c r="D31"/>
  <c r="C31"/>
  <c r="D30"/>
  <c r="C30"/>
  <c r="E28"/>
  <c r="D28" s="1"/>
  <c r="D27"/>
  <c r="C27"/>
  <c r="E25"/>
  <c r="D25" s="1"/>
  <c r="D24"/>
  <c r="C24"/>
  <c r="E22"/>
  <c r="D22" s="1"/>
  <c r="D21"/>
  <c r="C21"/>
  <c r="E19"/>
  <c r="D19" s="1"/>
  <c r="D18"/>
  <c r="C18"/>
  <c r="E15"/>
  <c r="E13" s="1"/>
  <c r="E12" s="1"/>
  <c r="D15"/>
  <c r="D13" s="1"/>
  <c r="D12" s="1"/>
  <c r="C15"/>
  <c r="C13" s="1"/>
  <c r="C12" s="1"/>
  <c r="E30" i="10"/>
  <c r="D30" s="1"/>
  <c r="D33"/>
  <c r="D32"/>
  <c r="C33"/>
  <c r="E33"/>
  <c r="C32"/>
  <c r="E32"/>
  <c r="C22" i="11" l="1"/>
  <c r="C28"/>
  <c r="C25"/>
  <c r="C19"/>
  <c r="C30" i="10"/>
  <c r="D15"/>
  <c r="D20" i="9" l="1"/>
  <c r="C17"/>
  <c r="C31" i="10" l="1"/>
  <c r="D31"/>
  <c r="E28" l="1"/>
  <c r="D28" s="1"/>
  <c r="D27"/>
  <c r="C27"/>
  <c r="C15"/>
  <c r="E25"/>
  <c r="D25" s="1"/>
  <c r="D24"/>
  <c r="C24"/>
  <c r="D21"/>
  <c r="C21"/>
  <c r="E22"/>
  <c r="E19"/>
  <c r="D19" s="1"/>
  <c r="D18"/>
  <c r="C18"/>
  <c r="E15"/>
  <c r="E20" i="9"/>
  <c r="E30"/>
  <c r="E29"/>
  <c r="I24" i="8"/>
  <c r="I22"/>
  <c r="I20"/>
  <c r="I18"/>
  <c r="I26" s="1"/>
  <c r="I11"/>
  <c r="I3"/>
  <c r="I5"/>
  <c r="I7"/>
  <c r="I9"/>
  <c r="M12"/>
  <c r="E33" i="9"/>
  <c r="C13" i="10" l="1"/>
  <c r="C12" s="1"/>
  <c r="E13"/>
  <c r="E12" s="1"/>
  <c r="C28"/>
  <c r="C19"/>
  <c r="C25"/>
  <c r="C22"/>
  <c r="D22"/>
  <c r="L12" i="8"/>
  <c r="S12"/>
  <c r="R12"/>
  <c r="Q12"/>
  <c r="Q8"/>
  <c r="C20"/>
  <c r="C3"/>
  <c r="D13" i="10" l="1"/>
  <c r="D12" s="1"/>
  <c r="C18" i="8"/>
  <c r="F24" l="1"/>
  <c r="D24"/>
  <c r="F22"/>
  <c r="G22" s="1"/>
  <c r="D22"/>
  <c r="E22" s="1"/>
  <c r="F18"/>
  <c r="C5"/>
  <c r="G18" l="1"/>
  <c r="D20"/>
  <c r="F20"/>
  <c r="F26" s="1"/>
  <c r="C26"/>
  <c r="D18"/>
  <c r="E18" s="1"/>
  <c r="E20"/>
  <c r="E26" l="1"/>
  <c r="G20"/>
  <c r="D26"/>
  <c r="G26"/>
  <c r="H11" l="1"/>
  <c r="C11"/>
  <c r="F9"/>
  <c r="D9"/>
  <c r="F7"/>
  <c r="G7" s="1"/>
  <c r="D7"/>
  <c r="E7" s="1"/>
  <c r="L8"/>
  <c r="F5"/>
  <c r="G5" s="1"/>
  <c r="D5"/>
  <c r="E5" s="1"/>
  <c r="D3"/>
  <c r="D11" s="1"/>
  <c r="F3"/>
  <c r="G3" s="1"/>
  <c r="G11" s="1"/>
  <c r="E3" l="1"/>
  <c r="F11"/>
  <c r="N12"/>
  <c r="S5"/>
  <c r="R5"/>
  <c r="Q5"/>
  <c r="M5"/>
  <c r="N5"/>
  <c r="L5"/>
  <c r="E11" l="1"/>
  <c r="D33" i="9"/>
  <c r="C33"/>
  <c r="D32"/>
  <c r="C32"/>
  <c r="D31"/>
  <c r="C31"/>
  <c r="D30"/>
  <c r="C30"/>
  <c r="D29"/>
  <c r="C29"/>
  <c r="E28"/>
  <c r="D28" s="1"/>
  <c r="D27"/>
  <c r="C27"/>
  <c r="D26"/>
  <c r="C26"/>
  <c r="E25"/>
  <c r="D25" s="1"/>
  <c r="D24"/>
  <c r="C24"/>
  <c r="D23"/>
  <c r="C23"/>
  <c r="E22"/>
  <c r="D22" s="1"/>
  <c r="D21"/>
  <c r="C21"/>
  <c r="C20"/>
  <c r="E19"/>
  <c r="D19" s="1"/>
  <c r="D18"/>
  <c r="C18"/>
  <c r="D17"/>
  <c r="E15"/>
  <c r="E13" s="1"/>
  <c r="D15"/>
  <c r="D13" s="1"/>
  <c r="D12" s="1"/>
  <c r="E12"/>
  <c r="E30" i="7"/>
  <c r="C15" i="9" l="1"/>
  <c r="C13" s="1"/>
  <c r="C12" s="1"/>
  <c r="C22"/>
  <c r="C28"/>
  <c r="C25"/>
  <c r="C19"/>
  <c r="D30" i="7"/>
  <c r="C30"/>
  <c r="C32"/>
  <c r="D32"/>
  <c r="C33"/>
  <c r="D33"/>
  <c r="C29"/>
  <c r="D29"/>
  <c r="C25" l="1"/>
  <c r="D25"/>
  <c r="C19"/>
  <c r="D19"/>
  <c r="C26"/>
  <c r="D26"/>
  <c r="C23"/>
  <c r="D23"/>
  <c r="C17" l="1"/>
  <c r="D17"/>
  <c r="D31"/>
  <c r="C31"/>
  <c r="E28"/>
  <c r="D27"/>
  <c r="C27"/>
  <c r="E25"/>
  <c r="D24"/>
  <c r="C24"/>
  <c r="E22"/>
  <c r="D21"/>
  <c r="C21"/>
  <c r="D20"/>
  <c r="C20"/>
  <c r="E19"/>
  <c r="D18"/>
  <c r="C18"/>
  <c r="E15"/>
  <c r="E13" s="1"/>
  <c r="E12" s="1"/>
  <c r="E33" i="5"/>
  <c r="D28" i="7" l="1"/>
  <c r="C28"/>
  <c r="D22"/>
  <c r="C22"/>
  <c r="C15"/>
  <c r="C13" s="1"/>
  <c r="C12" s="1"/>
  <c r="D15"/>
  <c r="D13" s="1"/>
  <c r="D12" s="1"/>
  <c r="E30" i="5"/>
  <c r="C30" l="1"/>
  <c r="C33"/>
  <c r="C32"/>
  <c r="E29" l="1"/>
  <c r="D33" l="1"/>
  <c r="D32"/>
  <c r="D31"/>
  <c r="C31"/>
  <c r="D30"/>
  <c r="D29"/>
  <c r="C29"/>
  <c r="E28"/>
  <c r="D28" s="1"/>
  <c r="D27"/>
  <c r="C27"/>
  <c r="D26"/>
  <c r="C26"/>
  <c r="E25"/>
  <c r="D25" s="1"/>
  <c r="D24"/>
  <c r="C24"/>
  <c r="D23"/>
  <c r="C23"/>
  <c r="E22"/>
  <c r="D22" s="1"/>
  <c r="D21"/>
  <c r="C21"/>
  <c r="D20"/>
  <c r="C20"/>
  <c r="E19"/>
  <c r="D19" s="1"/>
  <c r="D18"/>
  <c r="C18"/>
  <c r="D17"/>
  <c r="D15" s="1"/>
  <c r="C17"/>
  <c r="E15"/>
  <c r="E13" s="1"/>
  <c r="E12" s="1"/>
  <c r="C15"/>
  <c r="C13" s="1"/>
  <c r="C12" s="1"/>
  <c r="E30" i="4"/>
  <c r="E33"/>
  <c r="C30"/>
  <c r="D13" i="5" l="1"/>
  <c r="D12" s="1"/>
  <c r="C19"/>
  <c r="C28"/>
  <c r="C25"/>
  <c r="C22"/>
  <c r="C19" i="4"/>
  <c r="C22"/>
  <c r="C25"/>
  <c r="C33" l="1"/>
  <c r="E28" i="3"/>
  <c r="C31" i="4"/>
  <c r="E15" l="1"/>
  <c r="E13" s="1"/>
  <c r="E19"/>
  <c r="D33" l="1"/>
  <c r="D32"/>
  <c r="C32"/>
  <c r="D31"/>
  <c r="D30"/>
  <c r="D29"/>
  <c r="C29"/>
  <c r="E28"/>
  <c r="D28" s="1"/>
  <c r="D27"/>
  <c r="C27"/>
  <c r="D26"/>
  <c r="C26"/>
  <c r="E25"/>
  <c r="D25" s="1"/>
  <c r="D24"/>
  <c r="C24"/>
  <c r="D23"/>
  <c r="C23"/>
  <c r="E22"/>
  <c r="D22" s="1"/>
  <c r="D21"/>
  <c r="C21"/>
  <c r="D20"/>
  <c r="C20"/>
  <c r="D19"/>
  <c r="D18"/>
  <c r="C18"/>
  <c r="D17"/>
  <c r="D15" s="1"/>
  <c r="C17"/>
  <c r="E12"/>
  <c r="E30" i="3"/>
  <c r="C30"/>
  <c r="D13" i="4" l="1"/>
  <c r="D12" s="1"/>
  <c r="C15"/>
  <c r="C13" s="1"/>
  <c r="C12" s="1"/>
  <c r="C28"/>
  <c r="C33" i="3"/>
  <c r="C29"/>
  <c r="C26"/>
  <c r="C19"/>
  <c r="C23"/>
  <c r="E22"/>
  <c r="C22" s="1"/>
  <c r="C20"/>
  <c r="C15" s="1"/>
  <c r="C17"/>
  <c r="H17" i="2"/>
  <c r="H20"/>
  <c r="H23"/>
  <c r="H26"/>
  <c r="H29"/>
  <c r="C20"/>
  <c r="C23"/>
  <c r="D33" i="3"/>
  <c r="D32"/>
  <c r="C32"/>
  <c r="D31"/>
  <c r="C31"/>
  <c r="D30"/>
  <c r="D29"/>
  <c r="D28"/>
  <c r="D27"/>
  <c r="C27"/>
  <c r="D26"/>
  <c r="E25"/>
  <c r="D25" s="1"/>
  <c r="D24"/>
  <c r="C24"/>
  <c r="D23"/>
  <c r="D22"/>
  <c r="D21"/>
  <c r="C21"/>
  <c r="D20"/>
  <c r="E19"/>
  <c r="D19" s="1"/>
  <c r="D18"/>
  <c r="C18"/>
  <c r="D17"/>
  <c r="D15" s="1"/>
  <c r="E15"/>
  <c r="E13" s="1"/>
  <c r="E12" s="1"/>
  <c r="F29" i="2"/>
  <c r="F26"/>
  <c r="F23"/>
  <c r="F20"/>
  <c r="F17"/>
  <c r="F36"/>
  <c r="D13" i="3" l="1"/>
  <c r="D12" s="1"/>
  <c r="C25"/>
  <c r="C13"/>
  <c r="C12" s="1"/>
  <c r="C28"/>
  <c r="H36" i="2"/>
  <c r="E15"/>
  <c r="C30"/>
  <c r="D27" l="1"/>
  <c r="C27"/>
  <c r="D24"/>
  <c r="C24"/>
  <c r="D21"/>
  <c r="C21"/>
  <c r="C18"/>
  <c r="C31" l="1"/>
  <c r="D31"/>
  <c r="C32"/>
  <c r="D32"/>
  <c r="C33"/>
  <c r="D33"/>
  <c r="D30"/>
  <c r="D29"/>
  <c r="C29"/>
  <c r="E28"/>
  <c r="D28" s="1"/>
  <c r="D26"/>
  <c r="C26"/>
  <c r="E25"/>
  <c r="D25" s="1"/>
  <c r="D23"/>
  <c r="E22"/>
  <c r="D22" s="1"/>
  <c r="D20"/>
  <c r="E19"/>
  <c r="D18"/>
  <c r="D17"/>
  <c r="D15" s="1"/>
  <c r="C17"/>
  <c r="E13"/>
  <c r="E12" s="1"/>
  <c r="D19"/>
  <c r="C19"/>
  <c r="C15" l="1"/>
  <c r="C13" s="1"/>
  <c r="C12" s="1"/>
  <c r="C28"/>
  <c r="C22"/>
  <c r="D13"/>
  <c r="D12" s="1"/>
  <c r="C25"/>
</calcChain>
</file>

<file path=xl/sharedStrings.xml><?xml version="1.0" encoding="utf-8"?>
<sst xmlns="http://schemas.openxmlformats.org/spreadsheetml/2006/main" count="602" uniqueCount="76">
  <si>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</si>
  <si>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</si>
  <si>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</si>
  <si>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</si>
  <si>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</si>
  <si>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</si>
  <si>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</si>
  <si>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</si>
  <si>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</si>
  <si>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</si>
  <si>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</si>
  <si>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</si>
  <si>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</si>
  <si>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</si>
  <si>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</si>
  <si>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</si>
  <si>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</si>
  <si>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</si>
  <si>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</si>
  <si>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</si>
  <si>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</si>
  <si>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</si>
  <si>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</si>
  <si>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</si>
  <si>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</si>
  <si>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</si>
  <si>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</si>
  <si>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</si>
  <si>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</si>
  <si>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</si>
  <si>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СШ№18/2 с.Косшы</t>
  </si>
  <si>
    <t>за окт ноядек</t>
  </si>
  <si>
    <t>общ итог за 12 мес</t>
  </si>
  <si>
    <t>по состоянию на "01"апреля 2019г.</t>
  </si>
  <si>
    <t>2019 год</t>
  </si>
  <si>
    <t>по состоянию на "1" января 2019г.</t>
  </si>
  <si>
    <t>по состоянию на "01"июля 2019г.</t>
  </si>
  <si>
    <t xml:space="preserve">ипн. Соц налог. </t>
  </si>
  <si>
    <t>оздоров + больничные</t>
  </si>
  <si>
    <t>фонд 155767852+озд23112879+боль297227=179177958</t>
  </si>
  <si>
    <t>админ</t>
  </si>
  <si>
    <t>ипн</t>
  </si>
  <si>
    <t>соц н</t>
  </si>
  <si>
    <t>прочий пед перс</t>
  </si>
  <si>
    <t>тех перс</t>
  </si>
  <si>
    <t>учителя осн перс</t>
  </si>
  <si>
    <t>по состоянию на "01" октября 2019г.</t>
  </si>
  <si>
    <t>по состоянию на "01" января 2020г.</t>
  </si>
  <si>
    <t>по состоянию на "01" апреля 2020г.</t>
  </si>
  <si>
    <t xml:space="preserve">косшы </t>
  </si>
  <si>
    <t>начислено</t>
  </si>
  <si>
    <t xml:space="preserve">ипн </t>
  </si>
  <si>
    <t>сц налог</t>
  </si>
  <si>
    <t>3мес</t>
  </si>
  <si>
    <t xml:space="preserve">1мес </t>
  </si>
  <si>
    <t>коянды</t>
  </si>
  <si>
    <t>соц страх</t>
  </si>
  <si>
    <t>опв</t>
  </si>
  <si>
    <t>3 мес</t>
  </si>
  <si>
    <t>1 мес</t>
  </si>
  <si>
    <t>Қоянды</t>
  </si>
  <si>
    <t>Қосшы</t>
  </si>
  <si>
    <t>9чел</t>
  </si>
  <si>
    <t>50 чел</t>
  </si>
  <si>
    <t>14чел</t>
  </si>
  <si>
    <t>242 чел</t>
  </si>
  <si>
    <t xml:space="preserve">12чел </t>
  </si>
  <si>
    <t>42чел</t>
  </si>
  <si>
    <t>222 чел</t>
  </si>
  <si>
    <t>11чел</t>
  </si>
  <si>
    <t>2020 год</t>
  </si>
  <si>
    <t>по состоянию на "01" июля 2020г.</t>
  </si>
  <si>
    <t>3.1. Административный персонал</t>
  </si>
  <si>
    <t>по состоянию на "01" октября 2020г.</t>
  </si>
  <si>
    <t>по состоянию на "01" января 2021г.</t>
  </si>
  <si>
    <t>по состоянию на "01" апреля 2021г.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</si>
</sst>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2" borderId="2" xfId="0" applyFont="1" applyFill="1" applyBorder="1"/>
    <xf numFmtId="164" fontId="7" fillId="0" borderId="2" xfId="0" applyNumberFormat="1" applyFont="1" applyBorder="1"/>
    <xf numFmtId="164" fontId="7" fillId="2" borderId="2" xfId="0" applyNumberFormat="1" applyFont="1" applyFill="1" applyBorder="1"/>
    <xf numFmtId="0" fontId="7" fillId="0" borderId="2" xfId="0" applyFont="1" applyBorder="1"/>
    <xf numFmtId="1" fontId="7" fillId="3" borderId="2" xfId="0" applyNumberFormat="1" applyFont="1" applyFill="1" applyBorder="1"/>
    <xf numFmtId="1" fontId="7" fillId="0" borderId="2" xfId="0" applyNumberFormat="1" applyFont="1" applyBorder="1"/>
    <xf numFmtId="1" fontId="7" fillId="2" borderId="2" xfId="0" applyNumberFormat="1" applyFont="1" applyFill="1" applyBorder="1"/>
    <xf numFmtId="164" fontId="8" fillId="2" borderId="2" xfId="0" applyNumberFormat="1" applyFont="1" applyFill="1" applyBorder="1"/>
    <xf numFmtId="164" fontId="2" fillId="0" borderId="0" xfId="0" applyNumberFormat="1" applyFont="1"/>
    <xf numFmtId="0" fontId="2" fillId="2" borderId="0" xfId="0" applyFont="1" applyFill="1"/>
    <xf numFmtId="2" fontId="7" fillId="0" borderId="2" xfId="0" applyNumberFormat="1" applyFont="1" applyBorder="1"/>
    <xf numFmtId="0" fontId="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top"/>
    </xf>
    <xf numFmtId="0" fontId="6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2" fontId="7" fillId="2" borderId="2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3" borderId="0" xfId="0" applyFont="1" applyFill="1"/>
    <xf numFmtId="164" fontId="2" fillId="3" borderId="0" xfId="0" applyNumberFormat="1" applyFont="1" applyFill="1"/>
    <xf numFmtId="0" fontId="1" fillId="4" borderId="0" xfId="0" applyFont="1" applyFill="1"/>
    <xf numFmtId="0" fontId="4" fillId="4" borderId="0" xfId="0" applyFont="1" applyFill="1"/>
    <xf numFmtId="0" fontId="2" fillId="4" borderId="0" xfId="0" applyFont="1" applyFill="1"/>
    <xf numFmtId="0" fontId="5" fillId="4" borderId="0" xfId="0" applyFont="1" applyFill="1" applyAlignment="1">
      <alignment horizontal="center" vertical="top"/>
    </xf>
    <xf numFmtId="0" fontId="6" fillId="4" borderId="0" xfId="0" applyFont="1" applyFill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3" fillId="4" borderId="2" xfId="0" applyFont="1" applyFill="1" applyBorder="1"/>
    <xf numFmtId="1" fontId="7" fillId="4" borderId="2" xfId="0" applyNumberFormat="1" applyFont="1" applyFill="1" applyBorder="1"/>
    <xf numFmtId="164" fontId="7" fillId="4" borderId="2" xfId="0" applyNumberFormat="1" applyFont="1" applyFill="1" applyBorder="1"/>
    <xf numFmtId="0" fontId="4" fillId="4" borderId="2" xfId="0" applyFont="1" applyFill="1" applyBorder="1"/>
    <xf numFmtId="0" fontId="5" fillId="4" borderId="2" xfId="0" applyFont="1" applyFill="1" applyBorder="1"/>
    <xf numFmtId="0" fontId="2" fillId="4" borderId="2" xfId="0" applyFont="1" applyFill="1" applyBorder="1"/>
    <xf numFmtId="164" fontId="8" fillId="4" borderId="2" xfId="0" applyNumberFormat="1" applyFont="1" applyFill="1" applyBorder="1"/>
    <xf numFmtId="0" fontId="5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2" fontId="7" fillId="4" borderId="2" xfId="0" applyNumberFormat="1" applyFont="1" applyFill="1" applyBorder="1"/>
    <xf numFmtId="0" fontId="1" fillId="4" borderId="2" xfId="0" applyFont="1" applyFill="1" applyBorder="1" applyAlignment="1">
      <alignment wrapText="1"/>
    </xf>
    <xf numFmtId="0" fontId="1" fillId="3" borderId="0" xfId="0" applyFont="1" applyFill="1"/>
    <xf numFmtId="0" fontId="5" fillId="3" borderId="0" xfId="0" applyFont="1" applyFill="1" applyAlignment="1">
      <alignment horizontal="center" vertical="top"/>
    </xf>
    <xf numFmtId="0" fontId="6" fillId="3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3" fillId="3" borderId="2" xfId="0" applyFont="1" applyFill="1" applyBorder="1"/>
    <xf numFmtId="164" fontId="7" fillId="3" borderId="2" xfId="0" applyNumberFormat="1" applyFont="1" applyFill="1" applyBorder="1"/>
    <xf numFmtId="0" fontId="4" fillId="3" borderId="2" xfId="0" applyFont="1" applyFill="1" applyBorder="1"/>
    <xf numFmtId="0" fontId="5" fillId="3" borderId="2" xfId="0" applyFont="1" applyFill="1" applyBorder="1"/>
    <xf numFmtId="0" fontId="2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3" borderId="0" xfId="0" applyFill="1"/>
    <xf numFmtId="1" fontId="0" fillId="3" borderId="0" xfId="0" applyNumberFormat="1" applyFill="1"/>
    <xf numFmtId="164" fontId="7" fillId="5" borderId="2" xfId="0" applyNumberFormat="1" applyFont="1" applyFill="1" applyBorder="1"/>
    <xf numFmtId="164" fontId="8" fillId="5" borderId="2" xfId="0" applyNumberFormat="1" applyFont="1" applyFill="1" applyBorder="1"/>
    <xf numFmtId="1" fontId="7" fillId="5" borderId="2" xfId="0" applyNumberFormat="1" applyFont="1" applyFill="1" applyBorder="1"/>
    <xf numFmtId="0" fontId="7" fillId="5" borderId="2" xfId="0" applyFont="1" applyFill="1" applyBorder="1"/>
    <xf numFmtId="0" fontId="9" fillId="3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" fontId="0" fillId="0" borderId="0" xfId="0" applyNumberFormat="1"/>
    <xf numFmtId="0" fontId="10" fillId="0" borderId="0" xfId="0" applyFont="1"/>
    <xf numFmtId="1" fontId="11" fillId="3" borderId="2" xfId="0" applyNumberFormat="1" applyFont="1" applyFill="1" applyBorder="1"/>
    <xf numFmtId="1" fontId="0" fillId="3" borderId="2" xfId="0" applyNumberFormat="1" applyFill="1" applyBorder="1" applyAlignment="1"/>
    <xf numFmtId="0" fontId="12" fillId="2" borderId="0" xfId="0" applyFont="1" applyFill="1"/>
    <xf numFmtId="0" fontId="10" fillId="4" borderId="0" xfId="0" applyFont="1" applyFill="1"/>
    <xf numFmtId="0" fontId="0" fillId="4" borderId="0" xfId="0" applyFill="1"/>
    <xf numFmtId="1" fontId="0" fillId="4" borderId="0" xfId="0" applyNumberFormat="1" applyFill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opLeftCell="A10" workbookViewId="0">
      <selection activeCell="A15" sqref="A15:XFD15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9" style="2" customWidth="1"/>
    <col min="7" max="7" width="16.5703125" style="2" customWidth="1"/>
    <col min="8" max="8" width="26.85546875" style="2" customWidth="1"/>
    <col min="9" max="10" width="9.140625" style="2"/>
    <col min="11" max="11" width="14.85546875" style="2" customWidth="1"/>
    <col min="12" max="16384" width="9.140625" style="2"/>
  </cols>
  <sheetData>
    <row r="1" spans="1:8">
      <c r="A1" s="112" t="s">
        <v>15</v>
      </c>
      <c r="B1" s="112"/>
      <c r="C1" s="112"/>
      <c r="D1" s="112"/>
      <c r="E1" s="112"/>
    </row>
    <row r="2" spans="1:8">
      <c r="A2" s="112" t="s">
        <v>35</v>
      </c>
      <c r="B2" s="112"/>
      <c r="C2" s="112"/>
      <c r="D2" s="112"/>
      <c r="E2" s="112"/>
    </row>
    <row r="3" spans="1:8">
      <c r="A3" s="1"/>
    </row>
    <row r="4" spans="1:8">
      <c r="A4" s="113"/>
      <c r="B4" s="113"/>
      <c r="C4" s="113"/>
      <c r="D4" s="113"/>
      <c r="E4" s="113"/>
    </row>
    <row r="5" spans="1:8" ht="15.75" customHeight="1">
      <c r="A5" s="114" t="s">
        <v>17</v>
      </c>
      <c r="B5" s="114"/>
      <c r="C5" s="114"/>
      <c r="D5" s="114"/>
      <c r="E5" s="114"/>
    </row>
    <row r="6" spans="1:8">
      <c r="A6" s="4"/>
    </row>
    <row r="7" spans="1:8">
      <c r="A7" s="15" t="s">
        <v>18</v>
      </c>
    </row>
    <row r="8" spans="1:8">
      <c r="A8" s="1" t="s">
        <v>30</v>
      </c>
    </row>
    <row r="9" spans="1:8">
      <c r="A9" s="115" t="s">
        <v>29</v>
      </c>
      <c r="B9" s="116" t="s">
        <v>19</v>
      </c>
      <c r="C9" s="115" t="s">
        <v>16</v>
      </c>
      <c r="D9" s="115"/>
      <c r="E9" s="115"/>
    </row>
    <row r="10" spans="1:8" ht="40.5">
      <c r="A10" s="115"/>
      <c r="B10" s="116"/>
      <c r="C10" s="5" t="s">
        <v>20</v>
      </c>
      <c r="D10" s="5" t="s">
        <v>21</v>
      </c>
      <c r="E10" s="6" t="s">
        <v>14</v>
      </c>
      <c r="G10" s="2" t="s">
        <v>31</v>
      </c>
      <c r="H10" s="26" t="s">
        <v>32</v>
      </c>
    </row>
    <row r="11" spans="1:8">
      <c r="A11" s="7" t="s">
        <v>22</v>
      </c>
      <c r="B11" s="8" t="s">
        <v>10</v>
      </c>
      <c r="C11" s="17">
        <v>3380</v>
      </c>
      <c r="D11" s="17">
        <v>3380</v>
      </c>
      <c r="E11" s="17">
        <v>3380</v>
      </c>
    </row>
    <row r="12" spans="1:8">
      <c r="A12" s="12" t="s">
        <v>25</v>
      </c>
      <c r="B12" s="8" t="s">
        <v>2</v>
      </c>
      <c r="C12" s="21">
        <f>+C13/C11</f>
        <v>135.23427021696253</v>
      </c>
      <c r="D12" s="21">
        <f t="shared" ref="D12" si="0">+D13/D11</f>
        <v>101.53011834319527</v>
      </c>
      <c r="E12" s="21">
        <f>+E13/E11</f>
        <v>101.53011834319527</v>
      </c>
    </row>
    <row r="13" spans="1:8">
      <c r="A13" s="7" t="s">
        <v>11</v>
      </c>
      <c r="B13" s="8" t="s">
        <v>2</v>
      </c>
      <c r="C13" s="18">
        <f t="shared" ref="C13:D13" si="1">SUM(C15+C29+C30+C31+C32+C33)</f>
        <v>457091.83333333337</v>
      </c>
      <c r="D13" s="22">
        <f t="shared" si="1"/>
        <v>343171.8</v>
      </c>
      <c r="E13" s="18">
        <f>SUM(E15+E29+E30+E31+E32+E33)</f>
        <v>343171.8</v>
      </c>
    </row>
    <row r="14" spans="1:8">
      <c r="A14" s="10" t="s">
        <v>0</v>
      </c>
      <c r="B14" s="11"/>
      <c r="C14" s="22"/>
      <c r="D14" s="22"/>
      <c r="E14" s="22"/>
    </row>
    <row r="15" spans="1:8">
      <c r="A15" s="7" t="s">
        <v>12</v>
      </c>
      <c r="B15" s="8" t="s">
        <v>2</v>
      </c>
      <c r="C15" s="18">
        <f>SUM(C17+C20+C23+C26)</f>
        <v>403805.33333333331</v>
      </c>
      <c r="D15" s="22">
        <f>SUM(D17+D20+D23+D26)</f>
        <v>302854</v>
      </c>
      <c r="E15" s="18">
        <f>SUM(E17+E20+E23+E26)</f>
        <v>302854</v>
      </c>
    </row>
    <row r="16" spans="1:8">
      <c r="A16" s="10" t="s">
        <v>1</v>
      </c>
      <c r="B16" s="11"/>
      <c r="C16" s="22"/>
      <c r="D16" s="22"/>
      <c r="E16" s="22"/>
    </row>
    <row r="17" spans="1:11">
      <c r="A17" s="9" t="s">
        <v>13</v>
      </c>
      <c r="B17" s="8" t="s">
        <v>2</v>
      </c>
      <c r="C17" s="18">
        <f>SUM(+E17/9)*12</f>
        <v>12161.333333333334</v>
      </c>
      <c r="D17" s="22">
        <f>SUM(E17)</f>
        <v>9121</v>
      </c>
      <c r="E17" s="24">
        <v>9121</v>
      </c>
      <c r="F17" s="25">
        <f>SUM(E17/9)*3</f>
        <v>3040.3333333333335</v>
      </c>
      <c r="H17" s="25">
        <f>SUM(E17+F17)</f>
        <v>12161.333333333334</v>
      </c>
      <c r="K17" s="2">
        <v>9121215</v>
      </c>
    </row>
    <row r="18" spans="1:11">
      <c r="A18" s="12" t="s">
        <v>4</v>
      </c>
      <c r="B18" s="13" t="s">
        <v>3</v>
      </c>
      <c r="C18" s="22">
        <f>+E18</f>
        <v>8</v>
      </c>
      <c r="D18" s="22">
        <f t="shared" ref="D18:D33" si="2">SUM(E18)</f>
        <v>8</v>
      </c>
      <c r="E18" s="23">
        <v>8</v>
      </c>
    </row>
    <row r="19" spans="1:11" ht="21.95" customHeight="1">
      <c r="A19" s="12" t="s">
        <v>27</v>
      </c>
      <c r="B19" s="8" t="s">
        <v>28</v>
      </c>
      <c r="C19" s="18">
        <f t="shared" ref="C19" si="3">SUM(+E19/9)*12</f>
        <v>1520.1666666666667</v>
      </c>
      <c r="D19" s="22">
        <f t="shared" si="2"/>
        <v>1140.125</v>
      </c>
      <c r="E19" s="22">
        <f>+E17/E18</f>
        <v>1140.125</v>
      </c>
    </row>
    <row r="20" spans="1:11">
      <c r="A20" s="9" t="s">
        <v>23</v>
      </c>
      <c r="B20" s="8" t="s">
        <v>2</v>
      </c>
      <c r="C20" s="18">
        <f>SUM(+E20/9)*12</f>
        <v>349289.33333333337</v>
      </c>
      <c r="D20" s="22">
        <f>SUM(E20)</f>
        <v>261967</v>
      </c>
      <c r="E20" s="19">
        <v>261967</v>
      </c>
      <c r="F20" s="25">
        <f>SUM(E20/9)*3</f>
        <v>87322.333333333343</v>
      </c>
      <c r="H20" s="25">
        <f>SUM(E20+F20)</f>
        <v>349289.33333333337</v>
      </c>
      <c r="K20" s="2">
        <v>261967015</v>
      </c>
    </row>
    <row r="21" spans="1:11">
      <c r="A21" s="12" t="s">
        <v>4</v>
      </c>
      <c r="B21" s="13" t="s">
        <v>3</v>
      </c>
      <c r="C21" s="22">
        <f>+E21</f>
        <v>202</v>
      </c>
      <c r="D21" s="22">
        <f t="shared" ref="D21" si="4">SUM(E21)</f>
        <v>202</v>
      </c>
      <c r="E21" s="23">
        <v>202</v>
      </c>
    </row>
    <row r="22" spans="1:11" ht="21.95" customHeight="1">
      <c r="A22" s="12" t="s">
        <v>27</v>
      </c>
      <c r="B22" s="8" t="s">
        <v>28</v>
      </c>
      <c r="C22" s="22">
        <f t="shared" ref="C22" si="5">SUM(+E22/9)*12</f>
        <v>1729.1551155115512</v>
      </c>
      <c r="D22" s="22">
        <f t="shared" si="2"/>
        <v>1296.8663366336634</v>
      </c>
      <c r="E22" s="22">
        <f>+E20/E21</f>
        <v>1296.8663366336634</v>
      </c>
    </row>
    <row r="23" spans="1:11" ht="39">
      <c r="A23" s="16" t="s">
        <v>26</v>
      </c>
      <c r="B23" s="8" t="s">
        <v>2</v>
      </c>
      <c r="C23" s="22">
        <f>SUM(+E23/9)*12</f>
        <v>12237.333333333334</v>
      </c>
      <c r="D23" s="22">
        <f>SUM(E23)</f>
        <v>9178</v>
      </c>
      <c r="E23" s="19">
        <v>9178</v>
      </c>
      <c r="F23" s="25">
        <f>SUM(E23/9)*3</f>
        <v>3059.3333333333335</v>
      </c>
      <c r="H23" s="25">
        <f>SUM(E23+F23)</f>
        <v>12237.333333333334</v>
      </c>
      <c r="K23" s="2">
        <v>9178626</v>
      </c>
    </row>
    <row r="24" spans="1:11">
      <c r="A24" s="12" t="s">
        <v>4</v>
      </c>
      <c r="B24" s="13" t="s">
        <v>3</v>
      </c>
      <c r="C24" s="22">
        <f>+E24</f>
        <v>10.5</v>
      </c>
      <c r="D24" s="22">
        <f t="shared" ref="D24" si="6">SUM(E24)</f>
        <v>10.5</v>
      </c>
      <c r="E24" s="23">
        <v>10.5</v>
      </c>
    </row>
    <row r="25" spans="1:11" ht="21.95" customHeight="1">
      <c r="A25" s="12" t="s">
        <v>27</v>
      </c>
      <c r="B25" s="8" t="s">
        <v>28</v>
      </c>
      <c r="C25" s="18">
        <f t="shared" ref="C25" si="7">SUM(+E25/9)*12</f>
        <v>1165.4603174603174</v>
      </c>
      <c r="D25" s="22">
        <f t="shared" si="2"/>
        <v>874.09523809523807</v>
      </c>
      <c r="E25" s="22">
        <f>+E23/E24</f>
        <v>874.09523809523807</v>
      </c>
    </row>
    <row r="26" spans="1:11">
      <c r="A26" s="9" t="s">
        <v>24</v>
      </c>
      <c r="B26" s="8" t="s">
        <v>2</v>
      </c>
      <c r="C26" s="18">
        <f>SUM(+E26/9)*12</f>
        <v>30117.333333333336</v>
      </c>
      <c r="D26" s="22">
        <f>SUM(E26)</f>
        <v>22588</v>
      </c>
      <c r="E26" s="19">
        <v>22588</v>
      </c>
      <c r="F26" s="25">
        <f>SUM(E26/9)*3</f>
        <v>7529.3333333333339</v>
      </c>
      <c r="H26" s="25">
        <f>SUM(E26+F26)</f>
        <v>30117.333333333336</v>
      </c>
      <c r="K26" s="2">
        <v>22588031</v>
      </c>
    </row>
    <row r="27" spans="1:11">
      <c r="A27" s="12" t="s">
        <v>4</v>
      </c>
      <c r="B27" s="13" t="s">
        <v>3</v>
      </c>
      <c r="C27" s="22">
        <f>+E27</f>
        <v>54.5</v>
      </c>
      <c r="D27" s="22">
        <f t="shared" ref="D27" si="8">SUM(E27)</f>
        <v>54.5</v>
      </c>
      <c r="E27" s="23">
        <v>54.5</v>
      </c>
    </row>
    <row r="28" spans="1:11" ht="21.95" customHeight="1">
      <c r="A28" s="12" t="s">
        <v>27</v>
      </c>
      <c r="B28" s="8" t="s">
        <v>28</v>
      </c>
      <c r="C28" s="22">
        <f t="shared" ref="C28" si="9">SUM(+E28/9)*12</f>
        <v>552.611620795107</v>
      </c>
      <c r="D28" s="22">
        <f t="shared" si="2"/>
        <v>414.45871559633025</v>
      </c>
      <c r="E28" s="22">
        <f>+E26/E27</f>
        <v>414.45871559633025</v>
      </c>
    </row>
    <row r="29" spans="1:11">
      <c r="A29" s="7" t="s">
        <v>5</v>
      </c>
      <c r="B29" s="8" t="s">
        <v>2</v>
      </c>
      <c r="C29" s="18">
        <f>SUM(E29)</f>
        <v>1411.7</v>
      </c>
      <c r="D29" s="18">
        <f>SUM(E29)</f>
        <v>1411.7</v>
      </c>
      <c r="E29" s="27">
        <v>1411.7</v>
      </c>
      <c r="F29" s="25">
        <f>SUM(E29/9)*3</f>
        <v>470.56666666666666</v>
      </c>
      <c r="H29" s="25">
        <f>SUM(E29+F29)</f>
        <v>1882.2666666666667</v>
      </c>
      <c r="K29" s="2">
        <v>1411765</v>
      </c>
    </row>
    <row r="30" spans="1:11" ht="36.75">
      <c r="A30" s="14" t="s">
        <v>6</v>
      </c>
      <c r="B30" s="8" t="s">
        <v>2</v>
      </c>
      <c r="C30" s="18">
        <f>SUM(+E30/9)*12</f>
        <v>1264.1333333333334</v>
      </c>
      <c r="D30" s="18">
        <f t="shared" si="2"/>
        <v>948.1</v>
      </c>
      <c r="E30" s="17">
        <v>948.1</v>
      </c>
      <c r="K30" s="2">
        <v>948192</v>
      </c>
    </row>
    <row r="31" spans="1:11">
      <c r="A31" s="14" t="s">
        <v>7</v>
      </c>
      <c r="B31" s="8" t="s">
        <v>2</v>
      </c>
      <c r="C31" s="18">
        <f t="shared" ref="C31:C33" si="10">SUM(+E31/9)*12</f>
        <v>464.26666666666665</v>
      </c>
      <c r="D31" s="18">
        <f t="shared" si="2"/>
        <v>348.2</v>
      </c>
      <c r="E31" s="17">
        <v>348.2</v>
      </c>
      <c r="K31" s="2">
        <v>348257</v>
      </c>
    </row>
    <row r="32" spans="1:11" ht="36.75">
      <c r="A32" s="14" t="s">
        <v>8</v>
      </c>
      <c r="B32" s="8" t="s">
        <v>2</v>
      </c>
      <c r="C32" s="20">
        <f t="shared" si="10"/>
        <v>0</v>
      </c>
      <c r="D32" s="20">
        <f t="shared" si="2"/>
        <v>0</v>
      </c>
      <c r="E32" s="17"/>
    </row>
    <row r="33" spans="1:11" ht="38.25" customHeight="1">
      <c r="A33" s="14" t="s">
        <v>9</v>
      </c>
      <c r="B33" s="8" t="s">
        <v>2</v>
      </c>
      <c r="C33" s="20">
        <f t="shared" si="10"/>
        <v>50146.400000000001</v>
      </c>
      <c r="D33" s="20">
        <f t="shared" si="2"/>
        <v>37609.800000000003</v>
      </c>
      <c r="E33" s="19">
        <v>37609.800000000003</v>
      </c>
      <c r="K33" s="2">
        <v>37609831</v>
      </c>
    </row>
    <row r="36" spans="1:11">
      <c r="F36" s="25">
        <f>SUM(F17+F20+F23+F26+F29)</f>
        <v>101421.9</v>
      </c>
      <c r="H36" s="25">
        <f>SUM(H17+H20+H23+H26+H29)</f>
        <v>405687.6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16" right="0.12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6"/>
  <sheetViews>
    <sheetView topLeftCell="A7" workbookViewId="0">
      <selection sqref="A1:XFD1048576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74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70</v>
      </c>
      <c r="D9" s="130"/>
      <c r="E9" s="130"/>
    </row>
    <row r="10" spans="1:5" ht="40.5">
      <c r="A10" s="130"/>
      <c r="B10" s="131"/>
      <c r="C10" s="108" t="s">
        <v>20</v>
      </c>
      <c r="D10" s="108" t="s">
        <v>21</v>
      </c>
      <c r="E10" s="107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393.08748176956738</v>
      </c>
      <c r="D12" s="21">
        <f t="shared" ref="D12" si="0">+D13/D11</f>
        <v>293.63629071463293</v>
      </c>
      <c r="E12" s="21">
        <f>+E13/E11</f>
        <v>95.887554691297993</v>
      </c>
    </row>
    <row r="13" spans="1:5">
      <c r="A13" s="75" t="s">
        <v>11</v>
      </c>
      <c r="B13" s="76" t="s">
        <v>2</v>
      </c>
      <c r="C13" s="19">
        <f>SUM(C15+C29+C30+C31+C32+C33)</f>
        <v>1617161.9000000001</v>
      </c>
      <c r="D13" s="19">
        <f>SUM(D15+D29+D30+D31+D32+D33)</f>
        <v>1208019.7</v>
      </c>
      <c r="E13" s="19">
        <f>SUM(E15+E29+E30+E31+E32+E33)</f>
        <v>394481.39999999997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19">
        <f>SUM(C17+C20+C23+C26)</f>
        <v>1126771</v>
      </c>
      <c r="D15" s="19">
        <f>SUM(D17+D20+D23+D26)</f>
        <v>960489.39999999991</v>
      </c>
      <c r="E15" s="19">
        <f>SUM(E17+E20+E23+E26)</f>
        <v>311971.3</v>
      </c>
    </row>
    <row r="16" spans="1:5">
      <c r="A16" s="80" t="s">
        <v>1</v>
      </c>
      <c r="B16" s="81"/>
      <c r="C16" s="21"/>
      <c r="D16" s="21"/>
      <c r="E16" s="21"/>
    </row>
    <row r="17" spans="1:11">
      <c r="A17" s="82" t="s">
        <v>72</v>
      </c>
      <c r="B17" s="76" t="s">
        <v>2</v>
      </c>
      <c r="C17" s="88">
        <v>15480.3</v>
      </c>
      <c r="D17" s="88">
        <v>7864.1</v>
      </c>
      <c r="E17" s="89">
        <v>4056</v>
      </c>
      <c r="F17" s="48"/>
      <c r="H17" s="48"/>
      <c r="K17" s="4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" si="1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5408</v>
      </c>
      <c r="D19" s="79">
        <f>SUM(E19*3)</f>
        <v>1352</v>
      </c>
      <c r="E19" s="79">
        <f>+E17/E18</f>
        <v>450.66666666666669</v>
      </c>
    </row>
    <row r="20" spans="1:11">
      <c r="A20" s="82" t="s">
        <v>23</v>
      </c>
      <c r="B20" s="76" t="s">
        <v>2</v>
      </c>
      <c r="C20" s="88">
        <v>1036476</v>
      </c>
      <c r="D20" s="88">
        <v>915129</v>
      </c>
      <c r="E20" s="88">
        <v>289211.7</v>
      </c>
      <c r="F20" s="48"/>
      <c r="H20" s="48"/>
      <c r="K20" s="46">
        <v>261967015</v>
      </c>
    </row>
    <row r="21" spans="1:11">
      <c r="A21" s="78" t="s">
        <v>4</v>
      </c>
      <c r="B21" s="83" t="s">
        <v>3</v>
      </c>
      <c r="C21" s="79">
        <f>+E21</f>
        <v>287</v>
      </c>
      <c r="D21" s="79">
        <f t="shared" ref="D21" si="2">SUM(E21)</f>
        <v>287</v>
      </c>
      <c r="E21" s="79">
        <v>287</v>
      </c>
    </row>
    <row r="22" spans="1:11" ht="21.95" customHeight="1">
      <c r="A22" s="78" t="s">
        <v>27</v>
      </c>
      <c r="B22" s="76" t="s">
        <v>28</v>
      </c>
      <c r="C22" s="79">
        <f>SUM(+E22*12)</f>
        <v>12092.475261324042</v>
      </c>
      <c r="D22" s="79">
        <f>SUM(E22*3)</f>
        <v>3023.1188153310104</v>
      </c>
      <c r="E22" s="79">
        <f>+E20/E21</f>
        <v>1007.7062717770035</v>
      </c>
    </row>
    <row r="23" spans="1:11" ht="39">
      <c r="A23" s="84" t="s">
        <v>26</v>
      </c>
      <c r="B23" s="76" t="s">
        <v>2</v>
      </c>
      <c r="C23" s="88">
        <v>23239.4</v>
      </c>
      <c r="D23" s="88">
        <v>11619.7</v>
      </c>
      <c r="E23" s="88">
        <v>5809.8</v>
      </c>
      <c r="F23" s="48"/>
      <c r="H23" s="48"/>
      <c r="K23" s="4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3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5362.8923076923083</v>
      </c>
      <c r="D25" s="79">
        <f>SUM(E25*3)</f>
        <v>1340.7230769230771</v>
      </c>
      <c r="E25" s="79">
        <f>+E23/E24</f>
        <v>446.90769230769234</v>
      </c>
    </row>
    <row r="26" spans="1:11">
      <c r="A26" s="82" t="s">
        <v>24</v>
      </c>
      <c r="B26" s="76" t="s">
        <v>2</v>
      </c>
      <c r="C26" s="88">
        <v>51575.3</v>
      </c>
      <c r="D26" s="88">
        <v>25876.6</v>
      </c>
      <c r="E26" s="88">
        <v>12893.8</v>
      </c>
      <c r="F26" s="48"/>
      <c r="H26" s="48"/>
      <c r="K26" s="46">
        <v>22588031</v>
      </c>
    </row>
    <row r="27" spans="1:11">
      <c r="A27" s="78" t="s">
        <v>4</v>
      </c>
      <c r="B27" s="83" t="s">
        <v>3</v>
      </c>
      <c r="C27" s="79">
        <f>+E27</f>
        <v>50</v>
      </c>
      <c r="D27" s="79">
        <f t="shared" ref="D27" si="4">SUM(E27)</f>
        <v>50</v>
      </c>
      <c r="E27" s="79">
        <v>50</v>
      </c>
    </row>
    <row r="28" spans="1:11" ht="21.95" customHeight="1">
      <c r="A28" s="78" t="s">
        <v>27</v>
      </c>
      <c r="B28" s="76" t="s">
        <v>28</v>
      </c>
      <c r="C28" s="79">
        <f t="shared" ref="C28:C32" si="5">SUM(+E28*12)</f>
        <v>3094.5119999999997</v>
      </c>
      <c r="D28" s="79">
        <f>SUM(E28*3)</f>
        <v>773.62799999999993</v>
      </c>
      <c r="E28" s="79">
        <f>+E26/E27</f>
        <v>257.87599999999998</v>
      </c>
    </row>
    <row r="29" spans="1:11">
      <c r="A29" s="75" t="s">
        <v>5</v>
      </c>
      <c r="B29" s="76" t="s">
        <v>2</v>
      </c>
      <c r="C29" s="88">
        <v>184536.1</v>
      </c>
      <c r="D29" s="88">
        <v>171066.6</v>
      </c>
      <c r="E29" s="88">
        <v>57022.2</v>
      </c>
      <c r="F29" s="48"/>
      <c r="H29" s="48"/>
      <c r="K29" s="46">
        <v>1411765</v>
      </c>
    </row>
    <row r="30" spans="1:11" ht="36.75">
      <c r="A30" s="85" t="s">
        <v>6</v>
      </c>
      <c r="B30" s="76" t="s">
        <v>2</v>
      </c>
      <c r="C30" s="88">
        <f t="shared" si="5"/>
        <v>288339.60000000003</v>
      </c>
      <c r="D30" s="88">
        <f>SUM(E30*3)</f>
        <v>72084.900000000009</v>
      </c>
      <c r="E30" s="88">
        <f>6344.5+3.1+17680.7</f>
        <v>24028.300000000003</v>
      </c>
      <c r="K30" s="46">
        <v>948192</v>
      </c>
    </row>
    <row r="31" spans="1:11">
      <c r="A31" s="85" t="s">
        <v>7</v>
      </c>
      <c r="B31" s="76" t="s">
        <v>2</v>
      </c>
      <c r="C31" s="88">
        <f t="shared" si="5"/>
        <v>2754</v>
      </c>
      <c r="D31" s="88">
        <f>SUM(E31*3)</f>
        <v>688.5</v>
      </c>
      <c r="E31" s="91">
        <v>229.5</v>
      </c>
      <c r="K31" s="46">
        <v>348257</v>
      </c>
    </row>
    <row r="32" spans="1:11" ht="36.75">
      <c r="A32" s="85" t="s">
        <v>8</v>
      </c>
      <c r="B32" s="76" t="s">
        <v>2</v>
      </c>
      <c r="C32" s="88">
        <f t="shared" si="5"/>
        <v>0</v>
      </c>
      <c r="D32" s="88">
        <f>SUM(E32*3)</f>
        <v>0</v>
      </c>
      <c r="E32" s="88">
        <v>0</v>
      </c>
    </row>
    <row r="33" spans="1:11" ht="37.5" customHeight="1">
      <c r="A33" s="85" t="s">
        <v>9</v>
      </c>
      <c r="B33" s="76" t="s">
        <v>2</v>
      </c>
      <c r="C33" s="88">
        <f>E33*12</f>
        <v>14761.199999999999</v>
      </c>
      <c r="D33" s="88">
        <f>E33*3</f>
        <v>3690.2999999999997</v>
      </c>
      <c r="E33" s="88">
        <f>15+1215.1</f>
        <v>1230.0999999999999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A38" sqref="A38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3.140625" style="46" customWidth="1"/>
    <col min="4" max="4" width="11.5703125" style="46" customWidth="1"/>
    <col min="5" max="5" width="9.85546875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75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70</v>
      </c>
      <c r="D9" s="130"/>
      <c r="E9" s="130"/>
    </row>
    <row r="10" spans="1:5" ht="40.5">
      <c r="A10" s="130"/>
      <c r="B10" s="131"/>
      <c r="C10" s="110" t="s">
        <v>20</v>
      </c>
      <c r="D10" s="110" t="s">
        <v>21</v>
      </c>
      <c r="E10" s="109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437.22177929022848</v>
      </c>
      <c r="D12" s="21">
        <f t="shared" ref="D12" si="0">+D13/D11</f>
        <v>109.30544482255712</v>
      </c>
      <c r="E12" s="21">
        <f>+E13/E11</f>
        <v>109.30544482255712</v>
      </c>
    </row>
    <row r="13" spans="1:5">
      <c r="A13" s="75" t="s">
        <v>11</v>
      </c>
      <c r="B13" s="76" t="s">
        <v>2</v>
      </c>
      <c r="C13" s="79">
        <f>SUM(C15+C29+C30+C31+C32+C33)</f>
        <v>1798730.4</v>
      </c>
      <c r="D13" s="79">
        <f>SUM(D15+D29+D30+D31+D32+D33)</f>
        <v>449682.6</v>
      </c>
      <c r="E13" s="79">
        <f>SUM(E15+E29+E30+E31+E32+E33)</f>
        <v>449682.6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79">
        <f>SUM(C17+C20+C23+C26)</f>
        <v>1630642.4</v>
      </c>
      <c r="D15" s="79">
        <f>SUM(D17+D20+D23+D26)</f>
        <v>407660.6</v>
      </c>
      <c r="E15" s="79">
        <f>SUM(E17+E20+E23+E26)</f>
        <v>407660.6</v>
      </c>
    </row>
    <row r="16" spans="1:5">
      <c r="A16" s="80" t="s">
        <v>1</v>
      </c>
      <c r="B16" s="81"/>
      <c r="C16" s="21"/>
      <c r="D16" s="21"/>
      <c r="E16" s="21"/>
    </row>
    <row r="17" spans="1:11" s="26" customFormat="1">
      <c r="A17" s="40" t="s">
        <v>72</v>
      </c>
      <c r="B17" s="29" t="s">
        <v>2</v>
      </c>
      <c r="C17" s="79">
        <f>SUM(E17*4)</f>
        <v>20217.2</v>
      </c>
      <c r="D17" s="79">
        <f>SUM(E17)</f>
        <v>5054.3</v>
      </c>
      <c r="E17" s="24">
        <v>5054.3</v>
      </c>
      <c r="F17" s="111"/>
      <c r="H17" s="111"/>
      <c r="K17" s="2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" si="1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6739.0666666666675</v>
      </c>
      <c r="D19" s="79">
        <f>SUM(E19*3)</f>
        <v>1684.7666666666669</v>
      </c>
      <c r="E19" s="79">
        <f>+E17/E18</f>
        <v>561.58888888888896</v>
      </c>
    </row>
    <row r="20" spans="1:11" s="26" customFormat="1">
      <c r="A20" s="40" t="s">
        <v>23</v>
      </c>
      <c r="B20" s="29" t="s">
        <v>2</v>
      </c>
      <c r="C20" s="79">
        <f>SUM(E20*4)</f>
        <v>1532174.8</v>
      </c>
      <c r="D20" s="79">
        <f>SUM(E20)</f>
        <v>383043.7</v>
      </c>
      <c r="E20" s="19">
        <v>383043.7</v>
      </c>
      <c r="F20" s="111"/>
      <c r="H20" s="111"/>
      <c r="K20" s="26">
        <v>261967015</v>
      </c>
    </row>
    <row r="21" spans="1:11">
      <c r="A21" s="78" t="s">
        <v>4</v>
      </c>
      <c r="B21" s="83" t="s">
        <v>3</v>
      </c>
      <c r="C21" s="79">
        <f>+E21</f>
        <v>296</v>
      </c>
      <c r="D21" s="79">
        <f t="shared" ref="D21" si="2">SUM(E21)</f>
        <v>296</v>
      </c>
      <c r="E21" s="79">
        <v>296</v>
      </c>
    </row>
    <row r="22" spans="1:11" ht="21.95" customHeight="1">
      <c r="A22" s="78" t="s">
        <v>27</v>
      </c>
      <c r="B22" s="76" t="s">
        <v>28</v>
      </c>
      <c r="C22" s="79">
        <f>SUM(+E22*12)</f>
        <v>15528.798648648648</v>
      </c>
      <c r="D22" s="79">
        <f>SUM(E22*3)</f>
        <v>3882.199662162162</v>
      </c>
      <c r="E22" s="79">
        <f>+E20/E21</f>
        <v>1294.066554054054</v>
      </c>
    </row>
    <row r="23" spans="1:11" s="26" customFormat="1" ht="39">
      <c r="A23" s="42" t="s">
        <v>26</v>
      </c>
      <c r="B23" s="29" t="s">
        <v>2</v>
      </c>
      <c r="C23" s="79">
        <f>SUM(E23*4)</f>
        <v>25222</v>
      </c>
      <c r="D23" s="79">
        <f>SUM(E23)</f>
        <v>6305.5</v>
      </c>
      <c r="E23" s="19">
        <v>6305.5</v>
      </c>
      <c r="F23" s="111"/>
      <c r="H23" s="111"/>
      <c r="K23" s="2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3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5820.461538461539</v>
      </c>
      <c r="D25" s="79">
        <f>SUM(E25*3)</f>
        <v>1455.1153846153848</v>
      </c>
      <c r="E25" s="79">
        <f>+E23/E24</f>
        <v>485.03846153846155</v>
      </c>
    </row>
    <row r="26" spans="1:11" s="26" customFormat="1">
      <c r="A26" s="40" t="s">
        <v>24</v>
      </c>
      <c r="B26" s="29" t="s">
        <v>2</v>
      </c>
      <c r="C26" s="79">
        <f>SUM(E26*4)</f>
        <v>53028.4</v>
      </c>
      <c r="D26" s="79">
        <f>SUM(E26)</f>
        <v>13257.1</v>
      </c>
      <c r="E26" s="19">
        <v>13257.1</v>
      </c>
      <c r="F26" s="111"/>
      <c r="H26" s="111"/>
      <c r="K26" s="26">
        <v>22588031</v>
      </c>
    </row>
    <row r="27" spans="1:11">
      <c r="A27" s="78" t="s">
        <v>4</v>
      </c>
      <c r="B27" s="83" t="s">
        <v>3</v>
      </c>
      <c r="C27" s="79">
        <f>+E27</f>
        <v>50</v>
      </c>
      <c r="D27" s="79">
        <f t="shared" ref="D27" si="4">SUM(E27)</f>
        <v>50</v>
      </c>
      <c r="E27" s="79">
        <v>50</v>
      </c>
    </row>
    <row r="28" spans="1:11" ht="21.95" customHeight="1">
      <c r="A28" s="78" t="s">
        <v>27</v>
      </c>
      <c r="B28" s="76" t="s">
        <v>28</v>
      </c>
      <c r="C28" s="79">
        <f t="shared" ref="C28:C32" si="5">SUM(+E28*12)</f>
        <v>3181.7039999999997</v>
      </c>
      <c r="D28" s="79">
        <f>SUM(E28*3)</f>
        <v>795.42599999999993</v>
      </c>
      <c r="E28" s="79">
        <f>+E26/E27</f>
        <v>265.142</v>
      </c>
    </row>
    <row r="29" spans="1:11" s="26" customFormat="1">
      <c r="A29" s="36" t="s">
        <v>5</v>
      </c>
      <c r="B29" s="29" t="s">
        <v>2</v>
      </c>
      <c r="C29" s="79">
        <f>SUM(E29*4)</f>
        <v>99360</v>
      </c>
      <c r="D29" s="79">
        <f>SUM(E29)</f>
        <v>24840</v>
      </c>
      <c r="E29" s="19">
        <v>24840</v>
      </c>
      <c r="F29" s="111"/>
      <c r="H29" s="111"/>
      <c r="K29" s="26">
        <v>1411765</v>
      </c>
    </row>
    <row r="30" spans="1:11" ht="36.75">
      <c r="A30" s="85" t="s">
        <v>6</v>
      </c>
      <c r="B30" s="76" t="s">
        <v>2</v>
      </c>
      <c r="C30" s="79">
        <f>SUM(E30*4)</f>
        <v>7171.6</v>
      </c>
      <c r="D30" s="79">
        <f>SUM(E30)</f>
        <v>1792.9</v>
      </c>
      <c r="E30" s="79">
        <f>1784.4+5.2+3.3</f>
        <v>1792.9</v>
      </c>
      <c r="K30" s="46">
        <v>948192</v>
      </c>
    </row>
    <row r="31" spans="1:11">
      <c r="A31" s="85" t="s">
        <v>7</v>
      </c>
      <c r="B31" s="76" t="s">
        <v>2</v>
      </c>
      <c r="C31" s="79">
        <f t="shared" si="5"/>
        <v>0</v>
      </c>
      <c r="D31" s="79">
        <f>SUM(E31*3)</f>
        <v>0</v>
      </c>
      <c r="E31" s="77"/>
      <c r="K31" s="46">
        <v>348257</v>
      </c>
    </row>
    <row r="32" spans="1:11" ht="36.75">
      <c r="A32" s="85" t="s">
        <v>8</v>
      </c>
      <c r="B32" s="76" t="s">
        <v>2</v>
      </c>
      <c r="C32" s="79">
        <f t="shared" si="5"/>
        <v>0</v>
      </c>
      <c r="D32" s="79">
        <f>SUM(E32*3)</f>
        <v>0</v>
      </c>
      <c r="E32" s="79">
        <v>0</v>
      </c>
    </row>
    <row r="33" spans="1:11" ht="37.5" customHeight="1">
      <c r="A33" s="85" t="s">
        <v>9</v>
      </c>
      <c r="B33" s="76" t="s">
        <v>2</v>
      </c>
      <c r="C33" s="79">
        <f>SUM(E33*4)</f>
        <v>61556.4</v>
      </c>
      <c r="D33" s="79">
        <f>SUM(E33)</f>
        <v>15389.1</v>
      </c>
      <c r="E33" s="79">
        <f>14860+141.9+387.2</f>
        <v>15389.1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10" workbookViewId="0">
      <selection activeCell="E17" sqref="E17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9" style="2" customWidth="1"/>
    <col min="7" max="7" width="16.5703125" style="2" customWidth="1"/>
    <col min="8" max="8" width="26.85546875" style="2" customWidth="1"/>
    <col min="9" max="10" width="9.140625" style="2"/>
    <col min="11" max="11" width="14.85546875" style="2" customWidth="1"/>
    <col min="12" max="16384" width="9.140625" style="2"/>
  </cols>
  <sheetData>
    <row r="1" spans="1:8">
      <c r="A1" s="117" t="s">
        <v>15</v>
      </c>
      <c r="B1" s="117"/>
      <c r="C1" s="117"/>
      <c r="D1" s="117"/>
      <c r="E1" s="117"/>
    </row>
    <row r="2" spans="1:8">
      <c r="A2" s="117" t="s">
        <v>33</v>
      </c>
      <c r="B2" s="117"/>
      <c r="C2" s="117"/>
      <c r="D2" s="117"/>
      <c r="E2" s="117"/>
    </row>
    <row r="3" spans="1:8">
      <c r="A3" s="30"/>
      <c r="B3" s="31"/>
      <c r="C3" s="26"/>
      <c r="D3" s="26"/>
      <c r="E3" s="26"/>
    </row>
    <row r="4" spans="1:8">
      <c r="A4" s="118"/>
      <c r="B4" s="118"/>
      <c r="C4" s="118"/>
      <c r="D4" s="118"/>
      <c r="E4" s="118"/>
    </row>
    <row r="5" spans="1:8">
      <c r="A5" s="119" t="s">
        <v>17</v>
      </c>
      <c r="B5" s="119"/>
      <c r="C5" s="119"/>
      <c r="D5" s="119"/>
      <c r="E5" s="119"/>
    </row>
    <row r="6" spans="1:8">
      <c r="A6" s="32"/>
      <c r="B6" s="31"/>
      <c r="C6" s="26"/>
      <c r="D6" s="26"/>
      <c r="E6" s="26"/>
    </row>
    <row r="7" spans="1:8">
      <c r="A7" s="33" t="s">
        <v>18</v>
      </c>
      <c r="B7" s="31"/>
      <c r="C7" s="26"/>
      <c r="D7" s="26"/>
      <c r="E7" s="26"/>
    </row>
    <row r="8" spans="1:8">
      <c r="A8" s="30" t="s">
        <v>30</v>
      </c>
      <c r="B8" s="31"/>
      <c r="C8" s="26"/>
      <c r="D8" s="26"/>
      <c r="E8" s="26"/>
    </row>
    <row r="9" spans="1:8">
      <c r="A9" s="120" t="s">
        <v>29</v>
      </c>
      <c r="B9" s="121" t="s">
        <v>19</v>
      </c>
      <c r="C9" s="120" t="s">
        <v>34</v>
      </c>
      <c r="D9" s="120"/>
      <c r="E9" s="120"/>
    </row>
    <row r="10" spans="1:8" ht="40.5">
      <c r="A10" s="120"/>
      <c r="B10" s="121"/>
      <c r="C10" s="34" t="s">
        <v>20</v>
      </c>
      <c r="D10" s="34" t="s">
        <v>21</v>
      </c>
      <c r="E10" s="35" t="s">
        <v>14</v>
      </c>
      <c r="H10" s="26"/>
    </row>
    <row r="11" spans="1:8">
      <c r="A11" s="36" t="s">
        <v>22</v>
      </c>
      <c r="B11" s="29" t="s">
        <v>10</v>
      </c>
      <c r="C11" s="17">
        <v>3380</v>
      </c>
      <c r="D11" s="17">
        <v>3380</v>
      </c>
      <c r="E11" s="17">
        <v>3380</v>
      </c>
    </row>
    <row r="12" spans="1:8">
      <c r="A12" s="37" t="s">
        <v>25</v>
      </c>
      <c r="B12" s="29" t="s">
        <v>2</v>
      </c>
      <c r="C12" s="23">
        <f>+C13/C11</f>
        <v>31.024556213017753</v>
      </c>
      <c r="D12" s="23">
        <f t="shared" ref="D12" si="0">+D13/D11</f>
        <v>10.733017751479291</v>
      </c>
      <c r="E12" s="23">
        <f>+E13/E11</f>
        <v>10.733017751479291</v>
      </c>
    </row>
    <row r="13" spans="1:8">
      <c r="A13" s="36" t="s">
        <v>11</v>
      </c>
      <c r="B13" s="29" t="s">
        <v>2</v>
      </c>
      <c r="C13" s="19">
        <f t="shared" ref="C13:D13" si="1">SUM(C15+C29+C30+C31+C32+C33)</f>
        <v>104863</v>
      </c>
      <c r="D13" s="23">
        <f t="shared" si="1"/>
        <v>36277.600000000006</v>
      </c>
      <c r="E13" s="19">
        <f>SUM(E15+E29+E30+E31+E32+E33)</f>
        <v>36277.600000000006</v>
      </c>
    </row>
    <row r="14" spans="1:8">
      <c r="A14" s="38" t="s">
        <v>0</v>
      </c>
      <c r="B14" s="39"/>
      <c r="C14" s="23"/>
      <c r="D14" s="23"/>
      <c r="E14" s="23"/>
    </row>
    <row r="15" spans="1:8">
      <c r="A15" s="36" t="s">
        <v>12</v>
      </c>
      <c r="B15" s="29" t="s">
        <v>2</v>
      </c>
      <c r="C15" s="19">
        <f>SUM(C17+C20+C23+C26)</f>
        <v>96462</v>
      </c>
      <c r="D15" s="23">
        <f>SUM(D17+D20+D23+D26)</f>
        <v>32154.000000000004</v>
      </c>
      <c r="E15" s="19">
        <f>SUM(E17+E20+E23+E26)</f>
        <v>32154.000000000004</v>
      </c>
    </row>
    <row r="16" spans="1:8">
      <c r="A16" s="38" t="s">
        <v>1</v>
      </c>
      <c r="B16" s="39"/>
      <c r="C16" s="23"/>
      <c r="D16" s="23"/>
      <c r="E16" s="23"/>
    </row>
    <row r="17" spans="1:11">
      <c r="A17" s="40" t="s">
        <v>13</v>
      </c>
      <c r="B17" s="29" t="s">
        <v>2</v>
      </c>
      <c r="C17" s="19">
        <f>SUM(+E17*3)</f>
        <v>4706.1000000000004</v>
      </c>
      <c r="D17" s="23">
        <f>SUM(E17)</f>
        <v>1568.7</v>
      </c>
      <c r="E17" s="24">
        <v>1568.7</v>
      </c>
      <c r="F17" s="25"/>
      <c r="H17" s="25"/>
      <c r="K17" s="2">
        <v>9121215</v>
      </c>
    </row>
    <row r="18" spans="1:11">
      <c r="A18" s="37" t="s">
        <v>4</v>
      </c>
      <c r="B18" s="41" t="s">
        <v>3</v>
      </c>
      <c r="C18" s="23">
        <f>+E18</f>
        <v>9</v>
      </c>
      <c r="D18" s="23">
        <f t="shared" ref="D18:D33" si="2">SUM(E18)</f>
        <v>9</v>
      </c>
      <c r="E18" s="23">
        <v>9</v>
      </c>
    </row>
    <row r="19" spans="1:11" ht="21.95" customHeight="1">
      <c r="A19" s="37" t="s">
        <v>27</v>
      </c>
      <c r="B19" s="29" t="s">
        <v>28</v>
      </c>
      <c r="C19" s="23">
        <f>SUM(+E19*3)</f>
        <v>522.90000000000009</v>
      </c>
      <c r="D19" s="23">
        <f t="shared" si="2"/>
        <v>174.3</v>
      </c>
      <c r="E19" s="23">
        <f>+E17/E18</f>
        <v>174.3</v>
      </c>
    </row>
    <row r="20" spans="1:11">
      <c r="A20" s="40" t="s">
        <v>23</v>
      </c>
      <c r="B20" s="29" t="s">
        <v>2</v>
      </c>
      <c r="C20" s="19">
        <f>SUM(+E20*3)</f>
        <v>78238.5</v>
      </c>
      <c r="D20" s="23">
        <f>SUM(E20)</f>
        <v>26079.5</v>
      </c>
      <c r="E20" s="19">
        <v>26079.5</v>
      </c>
      <c r="F20" s="25"/>
      <c r="H20" s="25"/>
      <c r="K20" s="2">
        <v>261967015</v>
      </c>
    </row>
    <row r="21" spans="1:11">
      <c r="A21" s="37" t="s">
        <v>4</v>
      </c>
      <c r="B21" s="41" t="s">
        <v>3</v>
      </c>
      <c r="C21" s="23">
        <f>+E21</f>
        <v>202</v>
      </c>
      <c r="D21" s="23">
        <f t="shared" ref="D21" si="3">SUM(E21)</f>
        <v>202</v>
      </c>
      <c r="E21" s="23">
        <v>202</v>
      </c>
    </row>
    <row r="22" spans="1:11" ht="21.95" customHeight="1">
      <c r="A22" s="37" t="s">
        <v>27</v>
      </c>
      <c r="B22" s="29" t="s">
        <v>28</v>
      </c>
      <c r="C22" s="19">
        <f>SUM(+E22*3)</f>
        <v>387.31930693069307</v>
      </c>
      <c r="D22" s="23">
        <f t="shared" si="2"/>
        <v>129.10643564356437</v>
      </c>
      <c r="E22" s="23">
        <f>+E20/E21</f>
        <v>129.10643564356437</v>
      </c>
    </row>
    <row r="23" spans="1:11" ht="39">
      <c r="A23" s="42" t="s">
        <v>26</v>
      </c>
      <c r="B23" s="29" t="s">
        <v>2</v>
      </c>
      <c r="C23" s="19">
        <f>SUM(+E23*3)</f>
        <v>3073.2000000000003</v>
      </c>
      <c r="D23" s="23">
        <f>SUM(E23)</f>
        <v>1024.4000000000001</v>
      </c>
      <c r="E23" s="19">
        <v>1024.4000000000001</v>
      </c>
      <c r="F23" s="25"/>
      <c r="H23" s="25"/>
      <c r="K23" s="2">
        <v>9178626</v>
      </c>
    </row>
    <row r="24" spans="1:11">
      <c r="A24" s="37" t="s">
        <v>4</v>
      </c>
      <c r="B24" s="41" t="s">
        <v>3</v>
      </c>
      <c r="C24" s="23">
        <f>+E24</f>
        <v>11</v>
      </c>
      <c r="D24" s="23">
        <f t="shared" ref="D24" si="4">SUM(E24)</f>
        <v>11</v>
      </c>
      <c r="E24" s="23">
        <v>11</v>
      </c>
    </row>
    <row r="25" spans="1:11" ht="21.95" customHeight="1">
      <c r="A25" s="37" t="s">
        <v>27</v>
      </c>
      <c r="B25" s="29" t="s">
        <v>28</v>
      </c>
      <c r="C25" s="19">
        <f>SUM(+E25*3)</f>
        <v>279.38181818181823</v>
      </c>
      <c r="D25" s="23">
        <f t="shared" si="2"/>
        <v>93.127272727272739</v>
      </c>
      <c r="E25" s="23">
        <f>+E23/E24</f>
        <v>93.127272727272739</v>
      </c>
    </row>
    <row r="26" spans="1:11">
      <c r="A26" s="40" t="s">
        <v>24</v>
      </c>
      <c r="B26" s="29" t="s">
        <v>2</v>
      </c>
      <c r="C26" s="19">
        <f>SUM(+E26*3)</f>
        <v>10444.200000000001</v>
      </c>
      <c r="D26" s="23">
        <f>SUM(E26)</f>
        <v>3481.4</v>
      </c>
      <c r="E26" s="19">
        <v>3481.4</v>
      </c>
      <c r="F26" s="25"/>
      <c r="H26" s="25"/>
      <c r="K26" s="2">
        <v>22588031</v>
      </c>
    </row>
    <row r="27" spans="1:11">
      <c r="A27" s="37" t="s">
        <v>4</v>
      </c>
      <c r="B27" s="41" t="s">
        <v>3</v>
      </c>
      <c r="C27" s="23">
        <f>+E27</f>
        <v>55</v>
      </c>
      <c r="D27" s="23">
        <f t="shared" ref="D27" si="5">SUM(E27)</f>
        <v>55</v>
      </c>
      <c r="E27" s="23">
        <v>55</v>
      </c>
    </row>
    <row r="28" spans="1:11" ht="21.95" customHeight="1">
      <c r="A28" s="37" t="s">
        <v>27</v>
      </c>
      <c r="B28" s="29" t="s">
        <v>28</v>
      </c>
      <c r="C28" s="19">
        <f>SUM(+E28*3)</f>
        <v>189.89454545454544</v>
      </c>
      <c r="D28" s="19">
        <f t="shared" si="2"/>
        <v>63.298181818181817</v>
      </c>
      <c r="E28" s="19">
        <f>+E26/E27</f>
        <v>63.298181818181817</v>
      </c>
    </row>
    <row r="29" spans="1:11">
      <c r="A29" s="36" t="s">
        <v>5</v>
      </c>
      <c r="B29" s="29" t="s">
        <v>2</v>
      </c>
      <c r="C29" s="19">
        <f>SUM(+E29*3)</f>
        <v>6416.0999999999995</v>
      </c>
      <c r="D29" s="19">
        <f>SUM(E29)</f>
        <v>2138.6999999999998</v>
      </c>
      <c r="E29" s="43">
        <v>2138.6999999999998</v>
      </c>
      <c r="F29" s="25"/>
      <c r="H29" s="25"/>
      <c r="K29" s="2">
        <v>1411765</v>
      </c>
    </row>
    <row r="30" spans="1:11" ht="36.75">
      <c r="A30" s="28" t="s">
        <v>6</v>
      </c>
      <c r="B30" s="29" t="s">
        <v>2</v>
      </c>
      <c r="C30" s="19">
        <f>SUM(E30)</f>
        <v>1496</v>
      </c>
      <c r="D30" s="19">
        <f t="shared" si="2"/>
        <v>1496</v>
      </c>
      <c r="E30" s="19">
        <f>15.5+1480.5</f>
        <v>1496</v>
      </c>
      <c r="K30" s="2">
        <v>948192</v>
      </c>
    </row>
    <row r="31" spans="1:11">
      <c r="A31" s="28" t="s">
        <v>7</v>
      </c>
      <c r="B31" s="29" t="s">
        <v>2</v>
      </c>
      <c r="C31" s="19">
        <f t="shared" ref="C31:C32" si="6">SUM(+E31/9)*12</f>
        <v>0</v>
      </c>
      <c r="D31" s="19">
        <f t="shared" si="2"/>
        <v>0</v>
      </c>
      <c r="E31" s="17">
        <v>0</v>
      </c>
      <c r="K31" s="2">
        <v>348257</v>
      </c>
    </row>
    <row r="32" spans="1:11" ht="36.75">
      <c r="A32" s="28" t="s">
        <v>8</v>
      </c>
      <c r="B32" s="29" t="s">
        <v>2</v>
      </c>
      <c r="C32" s="17">
        <f t="shared" si="6"/>
        <v>0</v>
      </c>
      <c r="D32" s="17">
        <f t="shared" si="2"/>
        <v>0</v>
      </c>
      <c r="E32" s="17"/>
    </row>
    <row r="33" spans="1:11" ht="38.25" customHeight="1">
      <c r="A33" s="28" t="s">
        <v>9</v>
      </c>
      <c r="B33" s="29" t="s">
        <v>2</v>
      </c>
      <c r="C33" s="19">
        <f>SUM(E33)</f>
        <v>488.9</v>
      </c>
      <c r="D33" s="17">
        <f t="shared" si="2"/>
        <v>488.9</v>
      </c>
      <c r="E33" s="19">
        <v>488.9</v>
      </c>
      <c r="K33" s="2">
        <v>37609831</v>
      </c>
    </row>
    <row r="34" spans="1:11">
      <c r="A34" s="26"/>
      <c r="B34" s="31"/>
      <c r="C34" s="26"/>
      <c r="D34" s="26"/>
      <c r="E34" s="26"/>
    </row>
    <row r="36" spans="1:11">
      <c r="F36" s="25"/>
      <c r="H36" s="2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topLeftCell="A4" workbookViewId="0">
      <selection activeCell="A17" sqref="A17:XFD17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9" style="2" customWidth="1"/>
    <col min="7" max="7" width="16.5703125" style="2" customWidth="1"/>
    <col min="8" max="8" width="26.85546875" style="2" customWidth="1"/>
    <col min="9" max="10" width="9.140625" style="2"/>
    <col min="11" max="11" width="14.85546875" style="2" customWidth="1"/>
    <col min="12" max="16384" width="9.140625" style="2"/>
  </cols>
  <sheetData>
    <row r="1" spans="1:8">
      <c r="A1" s="117" t="s">
        <v>15</v>
      </c>
      <c r="B1" s="117"/>
      <c r="C1" s="117"/>
      <c r="D1" s="117"/>
      <c r="E1" s="117"/>
    </row>
    <row r="2" spans="1:8">
      <c r="A2" s="117" t="s">
        <v>36</v>
      </c>
      <c r="B2" s="117"/>
      <c r="C2" s="117"/>
      <c r="D2" s="117"/>
      <c r="E2" s="117"/>
    </row>
    <row r="3" spans="1:8">
      <c r="A3" s="30"/>
      <c r="B3" s="31"/>
      <c r="C3" s="26"/>
      <c r="D3" s="26"/>
      <c r="E3" s="26"/>
    </row>
    <row r="4" spans="1:8">
      <c r="A4" s="118"/>
      <c r="B4" s="118"/>
      <c r="C4" s="118"/>
      <c r="D4" s="118"/>
      <c r="E4" s="118"/>
    </row>
    <row r="5" spans="1:8">
      <c r="A5" s="119" t="s">
        <v>17</v>
      </c>
      <c r="B5" s="119"/>
      <c r="C5" s="119"/>
      <c r="D5" s="119"/>
      <c r="E5" s="119"/>
    </row>
    <row r="6" spans="1:8">
      <c r="A6" s="32"/>
      <c r="B6" s="31"/>
      <c r="C6" s="26"/>
      <c r="D6" s="26"/>
      <c r="E6" s="26"/>
    </row>
    <row r="7" spans="1:8">
      <c r="A7" s="33" t="s">
        <v>18</v>
      </c>
      <c r="B7" s="31"/>
      <c r="C7" s="26"/>
      <c r="D7" s="26"/>
      <c r="E7" s="26"/>
    </row>
    <row r="8" spans="1:8">
      <c r="A8" s="30" t="s">
        <v>30</v>
      </c>
      <c r="B8" s="31"/>
      <c r="C8" s="26"/>
      <c r="D8" s="26"/>
      <c r="E8" s="26"/>
    </row>
    <row r="9" spans="1:8">
      <c r="A9" s="120" t="s">
        <v>29</v>
      </c>
      <c r="B9" s="121" t="s">
        <v>19</v>
      </c>
      <c r="C9" s="120" t="s">
        <v>34</v>
      </c>
      <c r="D9" s="120"/>
      <c r="E9" s="120"/>
    </row>
    <row r="10" spans="1:8" ht="40.5">
      <c r="A10" s="120"/>
      <c r="B10" s="121"/>
      <c r="C10" s="45" t="s">
        <v>20</v>
      </c>
      <c r="D10" s="45" t="s">
        <v>21</v>
      </c>
      <c r="E10" s="44" t="s">
        <v>14</v>
      </c>
      <c r="H10" s="26"/>
    </row>
    <row r="11" spans="1:8">
      <c r="A11" s="36" t="s">
        <v>22</v>
      </c>
      <c r="B11" s="29" t="s">
        <v>10</v>
      </c>
      <c r="C11" s="17">
        <v>3380</v>
      </c>
      <c r="D11" s="17">
        <v>3380</v>
      </c>
      <c r="E11" s="17">
        <v>3380</v>
      </c>
    </row>
    <row r="12" spans="1:8">
      <c r="A12" s="37" t="s">
        <v>25</v>
      </c>
      <c r="B12" s="29" t="s">
        <v>2</v>
      </c>
      <c r="C12" s="23">
        <f>+C13/C11</f>
        <v>60.17655325443787</v>
      </c>
      <c r="D12" s="23">
        <f t="shared" ref="D12" si="0">+D13/D11</f>
        <v>20.871304733727808</v>
      </c>
      <c r="E12" s="23">
        <f>+E13/E11</f>
        <v>20.871304733727808</v>
      </c>
    </row>
    <row r="13" spans="1:8">
      <c r="A13" s="36" t="s">
        <v>11</v>
      </c>
      <c r="B13" s="29" t="s">
        <v>2</v>
      </c>
      <c r="C13" s="19">
        <f>SUM(C15+C29+C30+C31+C32+C33)</f>
        <v>203396.75</v>
      </c>
      <c r="D13" s="23">
        <f t="shared" ref="D13" si="1">SUM(D15+D29+D30+D31+D32+D33)</f>
        <v>70545.009999999995</v>
      </c>
      <c r="E13" s="19">
        <f>SUM(E15+E29+E30+E31+E32+E33)</f>
        <v>70545.009999999995</v>
      </c>
    </row>
    <row r="14" spans="1:8">
      <c r="A14" s="38" t="s">
        <v>0</v>
      </c>
      <c r="B14" s="39"/>
      <c r="C14" s="23"/>
      <c r="D14" s="23"/>
      <c r="E14" s="23"/>
    </row>
    <row r="15" spans="1:8">
      <c r="A15" s="36" t="s">
        <v>12</v>
      </c>
      <c r="B15" s="29" t="s">
        <v>2</v>
      </c>
      <c r="C15" s="19">
        <f>SUM(C17+C20+C23+C26)</f>
        <v>179177.85</v>
      </c>
      <c r="D15" s="23">
        <f>SUM(D17+D20+D23+D26)</f>
        <v>59725.950000000004</v>
      </c>
      <c r="E15" s="19">
        <f>SUM(E17+E20+E23+E26)</f>
        <v>59725.950000000004</v>
      </c>
      <c r="H15" s="2" t="s">
        <v>39</v>
      </c>
    </row>
    <row r="16" spans="1:8">
      <c r="A16" s="38" t="s">
        <v>1</v>
      </c>
      <c r="B16" s="39"/>
      <c r="C16" s="23"/>
      <c r="D16" s="23"/>
      <c r="E16" s="23"/>
    </row>
    <row r="17" spans="1:11">
      <c r="A17" s="40" t="s">
        <v>13</v>
      </c>
      <c r="B17" s="29" t="s">
        <v>2</v>
      </c>
      <c r="C17" s="19">
        <f>SUM(+E17*3)</f>
        <v>15445.650000000001</v>
      </c>
      <c r="D17" s="23">
        <f>SUM(E17)</f>
        <v>5148.55</v>
      </c>
      <c r="E17" s="24">
        <v>5148.55</v>
      </c>
      <c r="F17" s="25"/>
      <c r="H17" s="25"/>
      <c r="K17" s="2">
        <v>9121215</v>
      </c>
    </row>
    <row r="18" spans="1:11">
      <c r="A18" s="37" t="s">
        <v>4</v>
      </c>
      <c r="B18" s="41" t="s">
        <v>3</v>
      </c>
      <c r="C18" s="23">
        <f>+E18</f>
        <v>9</v>
      </c>
      <c r="D18" s="23">
        <f t="shared" ref="D18:D33" si="2">SUM(E18)</f>
        <v>9</v>
      </c>
      <c r="E18" s="23">
        <v>9</v>
      </c>
    </row>
    <row r="19" spans="1:11" ht="21.95" customHeight="1">
      <c r="A19" s="37" t="s">
        <v>27</v>
      </c>
      <c r="B19" s="29" t="s">
        <v>28</v>
      </c>
      <c r="C19" s="19">
        <f>SUM(+E19*3)</f>
        <v>1716.1833333333334</v>
      </c>
      <c r="D19" s="19">
        <f t="shared" si="2"/>
        <v>572.06111111111113</v>
      </c>
      <c r="E19" s="19">
        <f>+E17/E18</f>
        <v>572.06111111111113</v>
      </c>
    </row>
    <row r="20" spans="1:11">
      <c r="A20" s="40" t="s">
        <v>23</v>
      </c>
      <c r="B20" s="29" t="s">
        <v>2</v>
      </c>
      <c r="C20" s="19">
        <f>SUM(+E20*3)</f>
        <v>137603.70000000001</v>
      </c>
      <c r="D20" s="23">
        <f>SUM(E20)</f>
        <v>45867.9</v>
      </c>
      <c r="E20" s="19">
        <v>45867.9</v>
      </c>
      <c r="F20" s="25"/>
      <c r="G20" s="2" t="s">
        <v>38</v>
      </c>
      <c r="H20" s="25"/>
      <c r="K20" s="2">
        <v>261967015</v>
      </c>
    </row>
    <row r="21" spans="1:11">
      <c r="A21" s="37" t="s">
        <v>4</v>
      </c>
      <c r="B21" s="41" t="s">
        <v>3</v>
      </c>
      <c r="C21" s="19">
        <f>+E21</f>
        <v>192</v>
      </c>
      <c r="D21" s="19">
        <f t="shared" ref="D21" si="3">SUM(E21)</f>
        <v>192</v>
      </c>
      <c r="E21" s="19">
        <v>192</v>
      </c>
    </row>
    <row r="22" spans="1:11" ht="21.95" customHeight="1">
      <c r="A22" s="37" t="s">
        <v>27</v>
      </c>
      <c r="B22" s="29" t="s">
        <v>28</v>
      </c>
      <c r="C22" s="19">
        <f>SUM(+E22*3)</f>
        <v>716.68593750000002</v>
      </c>
      <c r="D22" s="19">
        <f t="shared" si="2"/>
        <v>238.89531250000002</v>
      </c>
      <c r="E22" s="19">
        <f>+E20/E21</f>
        <v>238.89531250000002</v>
      </c>
    </row>
    <row r="23" spans="1:11" ht="39">
      <c r="A23" s="42" t="s">
        <v>26</v>
      </c>
      <c r="B23" s="29" t="s">
        <v>2</v>
      </c>
      <c r="C23" s="19">
        <f>SUM(+E23*3)</f>
        <v>14590.800000000001</v>
      </c>
      <c r="D23" s="23">
        <f>SUM(E23)</f>
        <v>4863.6000000000004</v>
      </c>
      <c r="E23" s="19">
        <v>4863.6000000000004</v>
      </c>
      <c r="F23" s="25"/>
      <c r="H23" s="25"/>
      <c r="K23" s="2">
        <v>9178626</v>
      </c>
    </row>
    <row r="24" spans="1:11">
      <c r="A24" s="37" t="s">
        <v>4</v>
      </c>
      <c r="B24" s="41" t="s">
        <v>3</v>
      </c>
      <c r="C24" s="19">
        <f>+E24</f>
        <v>11</v>
      </c>
      <c r="D24" s="19">
        <f t="shared" ref="D24" si="4">SUM(E24)</f>
        <v>11</v>
      </c>
      <c r="E24" s="19">
        <v>11</v>
      </c>
    </row>
    <row r="25" spans="1:11" ht="21.95" customHeight="1">
      <c r="A25" s="37" t="s">
        <v>27</v>
      </c>
      <c r="B25" s="29" t="s">
        <v>28</v>
      </c>
      <c r="C25" s="19">
        <f>SUM(+E25*3)</f>
        <v>1326.4363636363637</v>
      </c>
      <c r="D25" s="19">
        <f t="shared" si="2"/>
        <v>442.14545454545458</v>
      </c>
      <c r="E25" s="19">
        <f>+E23/E24</f>
        <v>442.14545454545458</v>
      </c>
    </row>
    <row r="26" spans="1:11">
      <c r="A26" s="40" t="s">
        <v>24</v>
      </c>
      <c r="B26" s="29" t="s">
        <v>2</v>
      </c>
      <c r="C26" s="19">
        <f>SUM(+E26*3)</f>
        <v>11537.7</v>
      </c>
      <c r="D26" s="23">
        <f>SUM(E26)</f>
        <v>3845.9</v>
      </c>
      <c r="E26" s="19">
        <v>3845.9</v>
      </c>
      <c r="F26" s="25"/>
      <c r="H26" s="25"/>
      <c r="K26" s="2">
        <v>22588031</v>
      </c>
    </row>
    <row r="27" spans="1:11">
      <c r="A27" s="37" t="s">
        <v>4</v>
      </c>
      <c r="B27" s="41" t="s">
        <v>3</v>
      </c>
      <c r="C27" s="19">
        <f>+E27</f>
        <v>55</v>
      </c>
      <c r="D27" s="19">
        <f t="shared" ref="D27" si="5">SUM(E27)</f>
        <v>55</v>
      </c>
      <c r="E27" s="19">
        <v>55</v>
      </c>
    </row>
    <row r="28" spans="1:11" ht="21.95" customHeight="1">
      <c r="A28" s="37" t="s">
        <v>27</v>
      </c>
      <c r="B28" s="29" t="s">
        <v>28</v>
      </c>
      <c r="C28" s="19">
        <f>SUM(+E28*3)</f>
        <v>209.77636363636361</v>
      </c>
      <c r="D28" s="19">
        <f t="shared" si="2"/>
        <v>69.925454545454542</v>
      </c>
      <c r="E28" s="19">
        <f>+E26/E27</f>
        <v>69.925454545454542</v>
      </c>
    </row>
    <row r="29" spans="1:11">
      <c r="A29" s="36" t="s">
        <v>5</v>
      </c>
      <c r="B29" s="29" t="s">
        <v>2</v>
      </c>
      <c r="C29" s="19">
        <f>SUM(+E29*3)</f>
        <v>19436.699999999997</v>
      </c>
      <c r="D29" s="19">
        <f>SUM(E29)</f>
        <v>6478.9</v>
      </c>
      <c r="E29" s="43">
        <v>6478.9</v>
      </c>
      <c r="F29" s="25"/>
      <c r="H29" s="25" t="s">
        <v>37</v>
      </c>
      <c r="K29" s="2">
        <v>1411765</v>
      </c>
    </row>
    <row r="30" spans="1:11" ht="36.75">
      <c r="A30" s="28" t="s">
        <v>6</v>
      </c>
      <c r="B30" s="29" t="s">
        <v>2</v>
      </c>
      <c r="C30" s="19">
        <f>SUM(E30)</f>
        <v>4119.1400000000003</v>
      </c>
      <c r="D30" s="19">
        <f t="shared" si="2"/>
        <v>4119.1400000000003</v>
      </c>
      <c r="E30" s="19">
        <f>2437.94+940.9+18.4+82.9+639</f>
        <v>4119.1400000000003</v>
      </c>
      <c r="K30" s="2">
        <v>948192</v>
      </c>
    </row>
    <row r="31" spans="1:11">
      <c r="A31" s="28" t="s">
        <v>7</v>
      </c>
      <c r="B31" s="29" t="s">
        <v>2</v>
      </c>
      <c r="C31" s="19">
        <f>SUM(+E31*3)</f>
        <v>192.36</v>
      </c>
      <c r="D31" s="19">
        <f t="shared" si="2"/>
        <v>64.12</v>
      </c>
      <c r="E31" s="17">
        <v>64.12</v>
      </c>
      <c r="K31" s="2">
        <v>348257</v>
      </c>
    </row>
    <row r="32" spans="1:11" ht="36.75">
      <c r="A32" s="28" t="s">
        <v>8</v>
      </c>
      <c r="B32" s="29" t="s">
        <v>2</v>
      </c>
      <c r="C32" s="17">
        <f t="shared" ref="C32" si="6">SUM(+E32/9)*12</f>
        <v>0</v>
      </c>
      <c r="D32" s="17">
        <f t="shared" si="2"/>
        <v>0</v>
      </c>
      <c r="E32" s="17"/>
    </row>
    <row r="33" spans="1:11" ht="38.25" customHeight="1">
      <c r="A33" s="28" t="s">
        <v>9</v>
      </c>
      <c r="B33" s="29" t="s">
        <v>2</v>
      </c>
      <c r="C33" s="19">
        <f>SUM(+E33*3)</f>
        <v>470.70000000000005</v>
      </c>
      <c r="D33" s="17">
        <f t="shared" si="2"/>
        <v>156.9</v>
      </c>
      <c r="E33" s="19">
        <f>8.8+148.1</f>
        <v>156.9</v>
      </c>
      <c r="K33" s="2">
        <v>37609831</v>
      </c>
    </row>
    <row r="34" spans="1:11">
      <c r="A34" s="26"/>
      <c r="B34" s="31"/>
      <c r="C34" s="26"/>
      <c r="D34" s="26"/>
      <c r="E34" s="26"/>
    </row>
    <row r="36" spans="1:11">
      <c r="F36" s="25"/>
      <c r="H36" s="2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topLeftCell="A10" workbookViewId="0">
      <selection activeCell="A17" sqref="A17:XFD17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8">
      <c r="A1" s="122" t="s">
        <v>15</v>
      </c>
      <c r="B1" s="122"/>
      <c r="C1" s="122"/>
      <c r="D1" s="122"/>
      <c r="E1" s="122"/>
    </row>
    <row r="2" spans="1:8">
      <c r="A2" s="122" t="s">
        <v>46</v>
      </c>
      <c r="B2" s="122"/>
      <c r="C2" s="122"/>
      <c r="D2" s="122"/>
      <c r="E2" s="122"/>
    </row>
    <row r="3" spans="1:8">
      <c r="A3" s="49"/>
      <c r="B3" s="50"/>
      <c r="C3" s="51"/>
      <c r="D3" s="51"/>
      <c r="E3" s="51"/>
    </row>
    <row r="4" spans="1:8">
      <c r="A4" s="123"/>
      <c r="B4" s="123"/>
      <c r="C4" s="123"/>
      <c r="D4" s="123"/>
      <c r="E4" s="123"/>
    </row>
    <row r="5" spans="1:8">
      <c r="A5" s="124" t="s">
        <v>17</v>
      </c>
      <c r="B5" s="124"/>
      <c r="C5" s="124"/>
      <c r="D5" s="124"/>
      <c r="E5" s="124"/>
    </row>
    <row r="6" spans="1:8">
      <c r="A6" s="52"/>
      <c r="B6" s="50"/>
      <c r="C6" s="51"/>
      <c r="D6" s="51"/>
      <c r="E6" s="51"/>
    </row>
    <row r="7" spans="1:8">
      <c r="A7" s="53" t="s">
        <v>18</v>
      </c>
      <c r="B7" s="50"/>
      <c r="C7" s="51"/>
      <c r="D7" s="51"/>
      <c r="E7" s="51"/>
    </row>
    <row r="8" spans="1:8">
      <c r="A8" s="49" t="s">
        <v>30</v>
      </c>
      <c r="B8" s="50"/>
      <c r="C8" s="51"/>
      <c r="D8" s="51"/>
      <c r="E8" s="51"/>
    </row>
    <row r="9" spans="1:8">
      <c r="A9" s="125" t="s">
        <v>29</v>
      </c>
      <c r="B9" s="126" t="s">
        <v>19</v>
      </c>
      <c r="C9" s="125" t="s">
        <v>34</v>
      </c>
      <c r="D9" s="125"/>
      <c r="E9" s="125"/>
    </row>
    <row r="10" spans="1:8" ht="40.5">
      <c r="A10" s="125"/>
      <c r="B10" s="126"/>
      <c r="C10" s="54" t="s">
        <v>20</v>
      </c>
      <c r="D10" s="54" t="s">
        <v>21</v>
      </c>
      <c r="E10" s="55" t="s">
        <v>14</v>
      </c>
    </row>
    <row r="11" spans="1:8">
      <c r="A11" s="56" t="s">
        <v>22</v>
      </c>
      <c r="B11" s="57" t="s">
        <v>10</v>
      </c>
      <c r="C11" s="58">
        <v>4114</v>
      </c>
      <c r="D11" s="58">
        <v>4114</v>
      </c>
      <c r="E11" s="58">
        <v>4114</v>
      </c>
    </row>
    <row r="12" spans="1:8">
      <c r="A12" s="59" t="s">
        <v>25</v>
      </c>
      <c r="B12" s="57" t="s">
        <v>2</v>
      </c>
      <c r="C12" s="60">
        <f>+C13/C11</f>
        <v>42.638232863393291</v>
      </c>
      <c r="D12" s="60">
        <f t="shared" ref="D12" si="0">+D13/D11</f>
        <v>14.212744287797767</v>
      </c>
      <c r="E12" s="60">
        <f>+E13/E11</f>
        <v>14.212744287797767</v>
      </c>
    </row>
    <row r="13" spans="1:8">
      <c r="A13" s="56" t="s">
        <v>11</v>
      </c>
      <c r="B13" s="57" t="s">
        <v>2</v>
      </c>
      <c r="C13" s="61">
        <f>SUM(C15+C29+C30+C31+C32+C33)</f>
        <v>175413.69</v>
      </c>
      <c r="D13" s="60">
        <f t="shared" ref="D13" si="1">SUM(D15+D29+D30+D31+D32+D33)</f>
        <v>58471.23000000001</v>
      </c>
      <c r="E13" s="61">
        <f>SUM(E15+E29+E30+E31+E32+E33)</f>
        <v>58471.23000000001</v>
      </c>
    </row>
    <row r="14" spans="1:8">
      <c r="A14" s="62" t="s">
        <v>0</v>
      </c>
      <c r="B14" s="63"/>
      <c r="C14" s="60"/>
      <c r="D14" s="60"/>
      <c r="E14" s="60"/>
    </row>
    <row r="15" spans="1:8">
      <c r="A15" s="56" t="s">
        <v>12</v>
      </c>
      <c r="B15" s="57" t="s">
        <v>2</v>
      </c>
      <c r="C15" s="61">
        <f>SUM(C17+C20+C23+C26)</f>
        <v>118638</v>
      </c>
      <c r="D15" s="60">
        <f>SUM(D17+D20+D23+D26)</f>
        <v>39546.000000000007</v>
      </c>
      <c r="E15" s="61">
        <f>SUM(E17+E20+E23+E26)</f>
        <v>39546.000000000007</v>
      </c>
      <c r="H15" s="46" t="s">
        <v>39</v>
      </c>
    </row>
    <row r="16" spans="1:8">
      <c r="A16" s="62" t="s">
        <v>1</v>
      </c>
      <c r="B16" s="63"/>
      <c r="C16" s="60"/>
      <c r="D16" s="60"/>
      <c r="E16" s="60"/>
    </row>
    <row r="17" spans="1:11">
      <c r="A17" s="64" t="s">
        <v>13</v>
      </c>
      <c r="B17" s="57" t="s">
        <v>2</v>
      </c>
      <c r="C17" s="61">
        <f>SUM(+E17*3)</f>
        <v>2396.3999999999996</v>
      </c>
      <c r="D17" s="60">
        <f>SUM(E17)</f>
        <v>798.8</v>
      </c>
      <c r="E17" s="65">
        <v>798.8</v>
      </c>
      <c r="F17" s="48"/>
      <c r="H17" s="48"/>
      <c r="K17" s="46">
        <v>9121215</v>
      </c>
    </row>
    <row r="18" spans="1:11">
      <c r="A18" s="59" t="s">
        <v>4</v>
      </c>
      <c r="B18" s="66" t="s">
        <v>3</v>
      </c>
      <c r="C18" s="60">
        <f>+E18</f>
        <v>9</v>
      </c>
      <c r="D18" s="60">
        <f t="shared" ref="D18:D33" si="2">SUM(E18)</f>
        <v>9</v>
      </c>
      <c r="E18" s="60">
        <v>9</v>
      </c>
    </row>
    <row r="19" spans="1:11" ht="21.95" customHeight="1">
      <c r="A19" s="59" t="s">
        <v>27</v>
      </c>
      <c r="B19" s="57" t="s">
        <v>28</v>
      </c>
      <c r="C19" s="61">
        <f>SUM(+E19*3)</f>
        <v>266.26666666666665</v>
      </c>
      <c r="D19" s="61">
        <f t="shared" si="2"/>
        <v>88.755555555555546</v>
      </c>
      <c r="E19" s="61">
        <f>+E17/E18</f>
        <v>88.755555555555546</v>
      </c>
    </row>
    <row r="20" spans="1:11">
      <c r="A20" s="64" t="s">
        <v>23</v>
      </c>
      <c r="B20" s="57" t="s">
        <v>2</v>
      </c>
      <c r="C20" s="61">
        <f>SUM(+E20*3)</f>
        <v>100228.20000000001</v>
      </c>
      <c r="D20" s="60">
        <f>SUM(E20)</f>
        <v>33409.4</v>
      </c>
      <c r="E20" s="61">
        <v>33409.4</v>
      </c>
      <c r="F20" s="48"/>
      <c r="G20" s="46" t="s">
        <v>38</v>
      </c>
      <c r="H20" s="48"/>
      <c r="K20" s="46">
        <v>261967015</v>
      </c>
    </row>
    <row r="21" spans="1:11">
      <c r="A21" s="59" t="s">
        <v>4</v>
      </c>
      <c r="B21" s="66" t="s">
        <v>3</v>
      </c>
      <c r="C21" s="61">
        <f>+E21</f>
        <v>232</v>
      </c>
      <c r="D21" s="61">
        <f t="shared" ref="D21" si="3">SUM(E21)</f>
        <v>232</v>
      </c>
      <c r="E21" s="61">
        <v>232</v>
      </c>
    </row>
    <row r="22" spans="1:11" ht="21.95" customHeight="1">
      <c r="A22" s="59" t="s">
        <v>27</v>
      </c>
      <c r="B22" s="57" t="s">
        <v>28</v>
      </c>
      <c r="C22" s="61">
        <f>SUM(+E22*3)</f>
        <v>432.01810344827584</v>
      </c>
      <c r="D22" s="61">
        <f t="shared" si="2"/>
        <v>144.00603448275862</v>
      </c>
      <c r="E22" s="61">
        <f>+E20/E21</f>
        <v>144.00603448275862</v>
      </c>
    </row>
    <row r="23" spans="1:11" ht="39">
      <c r="A23" s="67" t="s">
        <v>26</v>
      </c>
      <c r="B23" s="57" t="s">
        <v>2</v>
      </c>
      <c r="C23" s="61">
        <f>SUM(+E23*3)</f>
        <v>3226.5</v>
      </c>
      <c r="D23" s="60">
        <f>SUM(E23)</f>
        <v>1075.5</v>
      </c>
      <c r="E23" s="61">
        <v>1075.5</v>
      </c>
      <c r="F23" s="48"/>
      <c r="H23" s="48"/>
      <c r="K23" s="46">
        <v>9178626</v>
      </c>
    </row>
    <row r="24" spans="1:11">
      <c r="A24" s="59" t="s">
        <v>4</v>
      </c>
      <c r="B24" s="66" t="s">
        <v>3</v>
      </c>
      <c r="C24" s="61">
        <f>+E24</f>
        <v>13</v>
      </c>
      <c r="D24" s="61">
        <f t="shared" ref="D24" si="4">SUM(E24)</f>
        <v>13</v>
      </c>
      <c r="E24" s="61">
        <v>13</v>
      </c>
    </row>
    <row r="25" spans="1:11" ht="21.95" customHeight="1">
      <c r="A25" s="59" t="s">
        <v>27</v>
      </c>
      <c r="B25" s="57" t="s">
        <v>28</v>
      </c>
      <c r="C25" s="61">
        <f>SUM(+E25*3)</f>
        <v>248.19230769230768</v>
      </c>
      <c r="D25" s="61">
        <f t="shared" si="2"/>
        <v>82.730769230769226</v>
      </c>
      <c r="E25" s="61">
        <f>+E23/E24</f>
        <v>82.730769230769226</v>
      </c>
    </row>
    <row r="26" spans="1:11">
      <c r="A26" s="64" t="s">
        <v>24</v>
      </c>
      <c r="B26" s="57" t="s">
        <v>2</v>
      </c>
      <c r="C26" s="61">
        <f>SUM(+E26*3)</f>
        <v>12786.900000000001</v>
      </c>
      <c r="D26" s="60">
        <f>SUM(E26)</f>
        <v>4262.3</v>
      </c>
      <c r="E26" s="61">
        <v>4262.3</v>
      </c>
      <c r="F26" s="48"/>
      <c r="H26" s="48"/>
      <c r="K26" s="46">
        <v>22588031</v>
      </c>
    </row>
    <row r="27" spans="1:11">
      <c r="A27" s="59" t="s">
        <v>4</v>
      </c>
      <c r="B27" s="66" t="s">
        <v>3</v>
      </c>
      <c r="C27" s="61">
        <f>+E27</f>
        <v>67</v>
      </c>
      <c r="D27" s="61">
        <f t="shared" ref="D27" si="5">SUM(E27)</f>
        <v>67</v>
      </c>
      <c r="E27" s="61">
        <v>67</v>
      </c>
    </row>
    <row r="28" spans="1:11" ht="21.95" customHeight="1">
      <c r="A28" s="59" t="s">
        <v>27</v>
      </c>
      <c r="B28" s="57" t="s">
        <v>28</v>
      </c>
      <c r="C28" s="61">
        <f t="shared" ref="C28:C33" si="6">SUM(+E28*3)</f>
        <v>190.84925373134331</v>
      </c>
      <c r="D28" s="61">
        <f t="shared" si="2"/>
        <v>63.616417910447765</v>
      </c>
      <c r="E28" s="61">
        <f>+E26/E27</f>
        <v>63.616417910447765</v>
      </c>
    </row>
    <row r="29" spans="1:11">
      <c r="A29" s="56" t="s">
        <v>5</v>
      </c>
      <c r="B29" s="57" t="s">
        <v>2</v>
      </c>
      <c r="C29" s="61">
        <f t="shared" si="6"/>
        <v>14204.400000000001</v>
      </c>
      <c r="D29" s="61">
        <f>SUM(E29)</f>
        <v>4734.8</v>
      </c>
      <c r="E29" s="68">
        <f>2508.8+2226</f>
        <v>4734.8</v>
      </c>
      <c r="F29" s="48"/>
      <c r="H29" s="48" t="s">
        <v>37</v>
      </c>
      <c r="K29" s="46">
        <v>1411765</v>
      </c>
    </row>
    <row r="30" spans="1:11" ht="36.75">
      <c r="A30" s="69" t="s">
        <v>6</v>
      </c>
      <c r="B30" s="57" t="s">
        <v>2</v>
      </c>
      <c r="C30" s="61">
        <f t="shared" si="6"/>
        <v>7778.1900000000005</v>
      </c>
      <c r="D30" s="61">
        <f t="shared" si="2"/>
        <v>2592.73</v>
      </c>
      <c r="E30" s="61">
        <f>177.5+1.03+2414.2</f>
        <v>2592.73</v>
      </c>
      <c r="K30" s="46">
        <v>948192</v>
      </c>
    </row>
    <row r="31" spans="1:11">
      <c r="A31" s="69" t="s">
        <v>7</v>
      </c>
      <c r="B31" s="57" t="s">
        <v>2</v>
      </c>
      <c r="C31" s="61">
        <f t="shared" si="6"/>
        <v>192.60000000000002</v>
      </c>
      <c r="D31" s="61">
        <f t="shared" si="2"/>
        <v>64.2</v>
      </c>
      <c r="E31" s="58">
        <v>64.2</v>
      </c>
      <c r="K31" s="46">
        <v>348257</v>
      </c>
    </row>
    <row r="32" spans="1:11" ht="36.75">
      <c r="A32" s="69" t="s">
        <v>8</v>
      </c>
      <c r="B32" s="57" t="s">
        <v>2</v>
      </c>
      <c r="C32" s="61">
        <f t="shared" si="6"/>
        <v>19.200000000000003</v>
      </c>
      <c r="D32" s="58">
        <f t="shared" si="2"/>
        <v>6.4</v>
      </c>
      <c r="E32" s="58">
        <v>6.4</v>
      </c>
    </row>
    <row r="33" spans="1:11" ht="37.5" customHeight="1">
      <c r="A33" s="69" t="s">
        <v>9</v>
      </c>
      <c r="B33" s="57" t="s">
        <v>2</v>
      </c>
      <c r="C33" s="61">
        <f t="shared" si="6"/>
        <v>34581.300000000003</v>
      </c>
      <c r="D33" s="58">
        <f t="shared" si="2"/>
        <v>11527.1</v>
      </c>
      <c r="E33" s="61">
        <f>131.7+11395.4</f>
        <v>11527.1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sqref="A1:XFD1048576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47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34</v>
      </c>
      <c r="D9" s="130"/>
      <c r="E9" s="130"/>
    </row>
    <row r="10" spans="1:5" ht="40.5">
      <c r="A10" s="130"/>
      <c r="B10" s="131"/>
      <c r="C10" s="73" t="s">
        <v>20</v>
      </c>
      <c r="D10" s="73" t="s">
        <v>21</v>
      </c>
      <c r="E10" s="74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90.06752552260572</v>
      </c>
      <c r="D12" s="21">
        <f t="shared" ref="D12" si="0">+D13/D11</f>
        <v>25.37870685464268</v>
      </c>
      <c r="E12" s="21">
        <f>+E13/E11</f>
        <v>16.091103548857557</v>
      </c>
    </row>
    <row r="13" spans="1:5">
      <c r="A13" s="75" t="s">
        <v>11</v>
      </c>
      <c r="B13" s="76" t="s">
        <v>2</v>
      </c>
      <c r="C13" s="79">
        <f>SUM(C15+C29+C30+C31+C32+C33)</f>
        <v>370537.79999999993</v>
      </c>
      <c r="D13" s="21">
        <f t="shared" ref="D13" si="1">SUM(D15+D29+D30+D31+D32+D33)</f>
        <v>104407.99999999999</v>
      </c>
      <c r="E13" s="79">
        <f>SUM(E15+E29+E30+E31+E32+E33)</f>
        <v>66198.799999999988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79">
        <f>SUM(C17+C20+C23+C26)</f>
        <v>215429.39999999997</v>
      </c>
      <c r="D15" s="79">
        <f>SUM(D17+D20+D23+D26)</f>
        <v>65630.899999999994</v>
      </c>
      <c r="E15" s="79">
        <f>SUM(E17+E20+E23+E26)</f>
        <v>53273.1</v>
      </c>
    </row>
    <row r="16" spans="1:5">
      <c r="A16" s="80" t="s">
        <v>1</v>
      </c>
      <c r="B16" s="81"/>
      <c r="C16" s="21"/>
      <c r="D16" s="21"/>
      <c r="E16" s="21"/>
    </row>
    <row r="17" spans="1:11">
      <c r="A17" s="82" t="s">
        <v>13</v>
      </c>
      <c r="B17" s="76" t="s">
        <v>2</v>
      </c>
      <c r="C17" s="88">
        <f>SUM(+E17*12)</f>
        <v>11722.8</v>
      </c>
      <c r="D17" s="88">
        <f>SUM(E17*3)</f>
        <v>2930.7</v>
      </c>
      <c r="E17" s="89">
        <v>976.9</v>
      </c>
      <c r="F17" s="48"/>
      <c r="H17" s="48"/>
      <c r="K17" s="4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:D31" si="2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1302.5333333333333</v>
      </c>
      <c r="D19" s="79">
        <f>SUM(E19*3)</f>
        <v>325.63333333333333</v>
      </c>
      <c r="E19" s="79">
        <f>+E17/E18</f>
        <v>108.54444444444444</v>
      </c>
    </row>
    <row r="20" spans="1:11">
      <c r="A20" s="82" t="s">
        <v>23</v>
      </c>
      <c r="B20" s="76" t="s">
        <v>2</v>
      </c>
      <c r="C20" s="88">
        <f>SUM(+E20*3)</f>
        <v>141282.59999999998</v>
      </c>
      <c r="D20" s="90">
        <f>SUM(E20)</f>
        <v>47094.2</v>
      </c>
      <c r="E20" s="88">
        <v>47094.2</v>
      </c>
      <c r="F20" s="48"/>
      <c r="H20" s="48"/>
      <c r="K20" s="46">
        <v>261967015</v>
      </c>
    </row>
    <row r="21" spans="1:11">
      <c r="A21" s="78" t="s">
        <v>4</v>
      </c>
      <c r="B21" s="83" t="s">
        <v>3</v>
      </c>
      <c r="C21" s="79">
        <f>+E21</f>
        <v>232</v>
      </c>
      <c r="D21" s="79">
        <f t="shared" ref="D21" si="3">SUM(E21)</f>
        <v>232</v>
      </c>
      <c r="E21" s="79">
        <v>232</v>
      </c>
    </row>
    <row r="22" spans="1:11" ht="21.95" customHeight="1">
      <c r="A22" s="78" t="s">
        <v>27</v>
      </c>
      <c r="B22" s="76" t="s">
        <v>28</v>
      </c>
      <c r="C22" s="79">
        <f>SUM(+E22*12)</f>
        <v>2435.906896551724</v>
      </c>
      <c r="D22" s="79">
        <f>SUM(E22*3)</f>
        <v>608.976724137931</v>
      </c>
      <c r="E22" s="79">
        <f>+E20/E21</f>
        <v>202.99224137931034</v>
      </c>
    </row>
    <row r="23" spans="1:11" ht="39">
      <c r="A23" s="84" t="s">
        <v>26</v>
      </c>
      <c r="B23" s="76" t="s">
        <v>2</v>
      </c>
      <c r="C23" s="88">
        <f>SUM(+E23*12)</f>
        <v>12906</v>
      </c>
      <c r="D23" s="88">
        <f>SUM(E23*3)</f>
        <v>3226.5</v>
      </c>
      <c r="E23" s="88">
        <v>1075.5</v>
      </c>
      <c r="F23" s="48"/>
      <c r="H23" s="48"/>
      <c r="K23" s="4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4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992.76923076923072</v>
      </c>
      <c r="D25" s="79">
        <f>SUM(E25*3)</f>
        <v>248.19230769230768</v>
      </c>
      <c r="E25" s="79">
        <f>+E23/E24</f>
        <v>82.730769230769226</v>
      </c>
    </row>
    <row r="26" spans="1:11">
      <c r="A26" s="82" t="s">
        <v>24</v>
      </c>
      <c r="B26" s="76" t="s">
        <v>2</v>
      </c>
      <c r="C26" s="88">
        <f>SUM(+E26*12)</f>
        <v>49518</v>
      </c>
      <c r="D26" s="88">
        <f>SUM(E26*3)</f>
        <v>12379.5</v>
      </c>
      <c r="E26" s="88">
        <v>4126.5</v>
      </c>
      <c r="F26" s="48"/>
      <c r="H26" s="48"/>
      <c r="K26" s="46">
        <v>22588031</v>
      </c>
    </row>
    <row r="27" spans="1:11">
      <c r="A27" s="78" t="s">
        <v>4</v>
      </c>
      <c r="B27" s="83" t="s">
        <v>3</v>
      </c>
      <c r="C27" s="79">
        <f>+E27</f>
        <v>49</v>
      </c>
      <c r="D27" s="79">
        <f t="shared" ref="D27" si="5">SUM(E27)</f>
        <v>49</v>
      </c>
      <c r="E27" s="79">
        <v>49</v>
      </c>
    </row>
    <row r="28" spans="1:11" ht="21.95" customHeight="1">
      <c r="A28" s="78" t="s">
        <v>27</v>
      </c>
      <c r="B28" s="76" t="s">
        <v>28</v>
      </c>
      <c r="C28" s="79">
        <f>SUM(+E28*12)</f>
        <v>1010.5714285714284</v>
      </c>
      <c r="D28" s="79">
        <f>SUM(E28*3)</f>
        <v>252.64285714285711</v>
      </c>
      <c r="E28" s="79">
        <f>+E26/E27</f>
        <v>84.214285714285708</v>
      </c>
    </row>
    <row r="29" spans="1:11">
      <c r="A29" s="75" t="s">
        <v>5</v>
      </c>
      <c r="B29" s="76" t="s">
        <v>2</v>
      </c>
      <c r="C29" s="88">
        <f>SUM(+E29*12)</f>
        <v>97734</v>
      </c>
      <c r="D29" s="88">
        <f>SUM(E29*3)</f>
        <v>24433.5</v>
      </c>
      <c r="E29" s="88">
        <v>8144.5</v>
      </c>
      <c r="F29" s="48"/>
      <c r="H29" s="48"/>
      <c r="K29" s="46">
        <v>1411765</v>
      </c>
    </row>
    <row r="30" spans="1:11" ht="36.75">
      <c r="A30" s="85" t="s">
        <v>6</v>
      </c>
      <c r="B30" s="76" t="s">
        <v>2</v>
      </c>
      <c r="C30" s="88">
        <f>SUM(+E30*12)</f>
        <v>50811.599999999991</v>
      </c>
      <c r="D30" s="88">
        <f>SUM(E30*3)</f>
        <v>12702.899999999998</v>
      </c>
      <c r="E30" s="88">
        <f>1653.6+2414.1+27.2+1+138.4</f>
        <v>4234.2999999999993</v>
      </c>
      <c r="K30" s="46">
        <v>948192</v>
      </c>
    </row>
    <row r="31" spans="1:11">
      <c r="A31" s="85" t="s">
        <v>7</v>
      </c>
      <c r="B31" s="76" t="s">
        <v>2</v>
      </c>
      <c r="C31" s="88">
        <f t="shared" ref="C31" si="6">SUM(+E31*3)</f>
        <v>0</v>
      </c>
      <c r="D31" s="88">
        <f t="shared" si="2"/>
        <v>0</v>
      </c>
      <c r="E31" s="91"/>
      <c r="K31" s="46">
        <v>348257</v>
      </c>
    </row>
    <row r="32" spans="1:11" ht="36.75">
      <c r="A32" s="85" t="s">
        <v>8</v>
      </c>
      <c r="B32" s="76" t="s">
        <v>2</v>
      </c>
      <c r="C32" s="88">
        <f>SUM(+E32*12)</f>
        <v>6366</v>
      </c>
      <c r="D32" s="91">
        <f>SUM(E32*3)</f>
        <v>1591.5</v>
      </c>
      <c r="E32" s="91">
        <v>530.5</v>
      </c>
    </row>
    <row r="33" spans="1:11" ht="37.5" customHeight="1">
      <c r="A33" s="85" t="s">
        <v>9</v>
      </c>
      <c r="B33" s="76" t="s">
        <v>2</v>
      </c>
      <c r="C33" s="88">
        <f>SUM(+E33*12)</f>
        <v>196.79999999999998</v>
      </c>
      <c r="D33" s="91">
        <f>SUM(E33*3)</f>
        <v>49.199999999999996</v>
      </c>
      <c r="E33" s="88">
        <v>16.399999999999999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6"/>
  <sheetViews>
    <sheetView topLeftCell="A4" workbookViewId="0">
      <selection activeCell="B7" sqref="B7"/>
    </sheetView>
  </sheetViews>
  <sheetFormatPr defaultRowHeight="15"/>
  <cols>
    <col min="1" max="1" width="15.85546875" customWidth="1"/>
    <col min="12" max="12" width="13.28515625" customWidth="1"/>
    <col min="17" max="17" width="10.5703125" customWidth="1"/>
    <col min="19" max="19" width="11.5703125" customWidth="1"/>
  </cols>
  <sheetData>
    <row r="1" spans="1:19" ht="20.25">
      <c r="A1" s="86"/>
      <c r="B1" s="86"/>
      <c r="C1" s="86"/>
      <c r="D1" s="86"/>
      <c r="E1" s="86"/>
      <c r="F1" s="86"/>
      <c r="G1" s="86"/>
      <c r="H1" s="46"/>
    </row>
    <row r="2" spans="1:19" ht="20.25">
      <c r="A2" s="100" t="s">
        <v>61</v>
      </c>
      <c r="B2" s="86"/>
      <c r="C2" s="86"/>
      <c r="D2" s="86" t="s">
        <v>57</v>
      </c>
      <c r="E2" s="86" t="s">
        <v>41</v>
      </c>
      <c r="F2" s="86" t="s">
        <v>56</v>
      </c>
      <c r="G2" s="86" t="s">
        <v>42</v>
      </c>
      <c r="H2" s="46"/>
      <c r="K2" s="96" t="s">
        <v>49</v>
      </c>
      <c r="L2" s="96" t="s">
        <v>50</v>
      </c>
      <c r="M2" s="96" t="s">
        <v>51</v>
      </c>
      <c r="N2" s="96" t="s">
        <v>52</v>
      </c>
      <c r="P2" s="100" t="s">
        <v>55</v>
      </c>
      <c r="Q2" s="100" t="s">
        <v>50</v>
      </c>
      <c r="R2" s="100" t="s">
        <v>51</v>
      </c>
      <c r="S2" s="100" t="s">
        <v>52</v>
      </c>
    </row>
    <row r="3" spans="1:19" ht="20.25">
      <c r="A3" s="86" t="s">
        <v>40</v>
      </c>
      <c r="B3" s="86" t="s">
        <v>62</v>
      </c>
      <c r="C3" s="86">
        <f>1075092*1.25</f>
        <v>1343865</v>
      </c>
      <c r="D3" s="87">
        <f>SUM(C3*10%)</f>
        <v>134386.5</v>
      </c>
      <c r="E3" s="87">
        <f>SUM((C3-D3)-42500)*10%</f>
        <v>116697.85</v>
      </c>
      <c r="F3" s="97">
        <f>(C3-(C3*10%))*3.5%</f>
        <v>42331.747500000005</v>
      </c>
      <c r="G3" s="98">
        <f>+((C3-(C3*10%))*9.5%)-F3</f>
        <v>72568.709999999992</v>
      </c>
      <c r="H3" s="46"/>
      <c r="I3" s="95">
        <f>C3-E3</f>
        <v>1227167.1499999999</v>
      </c>
      <c r="K3" s="96" t="s">
        <v>53</v>
      </c>
      <c r="L3" s="96">
        <v>243784642</v>
      </c>
      <c r="M3" s="96">
        <v>17834814</v>
      </c>
      <c r="N3" s="96">
        <v>12197781</v>
      </c>
      <c r="P3" s="100" t="s">
        <v>53</v>
      </c>
      <c r="Q3" s="100">
        <v>191433624</v>
      </c>
      <c r="R3" s="100">
        <v>13341818</v>
      </c>
      <c r="S3" s="100">
        <v>9493856</v>
      </c>
    </row>
    <row r="4" spans="1:19" ht="20.25">
      <c r="A4" s="86"/>
      <c r="B4" s="86"/>
      <c r="C4" s="86"/>
      <c r="D4" s="86"/>
      <c r="E4" s="86"/>
      <c r="F4" s="86"/>
      <c r="G4" s="86"/>
      <c r="H4" s="46"/>
      <c r="P4" s="101"/>
      <c r="Q4" s="101"/>
      <c r="R4" s="101"/>
      <c r="S4" s="101"/>
    </row>
    <row r="5" spans="1:19" ht="20.25">
      <c r="A5" s="86" t="s">
        <v>43</v>
      </c>
      <c r="B5" s="86" t="s">
        <v>64</v>
      </c>
      <c r="C5" s="86">
        <f>2764917*1.25</f>
        <v>3456146.25</v>
      </c>
      <c r="D5" s="87">
        <f>SUM(C5*10%)</f>
        <v>345614.625</v>
      </c>
      <c r="E5" s="87">
        <f>SUM((C5-D5)-42500)*10%</f>
        <v>306803.16250000003</v>
      </c>
      <c r="F5" s="97">
        <f>(C5-(C5*10%))*3.5%</f>
        <v>108868.60687500001</v>
      </c>
      <c r="G5" s="98">
        <f>+((C5-(C5*10%))*9.5%)-F5</f>
        <v>186631.89750000002</v>
      </c>
      <c r="H5" s="46"/>
      <c r="I5" s="95">
        <f>C5-E5</f>
        <v>3149343.0874999999</v>
      </c>
      <c r="K5" t="s">
        <v>54</v>
      </c>
      <c r="L5" s="95">
        <f>SUM(L3/3)</f>
        <v>81261547.333333328</v>
      </c>
      <c r="M5" s="95">
        <f t="shared" ref="M5:N5" si="0">SUM(M3/3)</f>
        <v>5944938</v>
      </c>
      <c r="N5" s="95">
        <f t="shared" si="0"/>
        <v>4065927</v>
      </c>
      <c r="P5" s="101" t="s">
        <v>54</v>
      </c>
      <c r="Q5" s="102">
        <f>SUM(Q3/3)</f>
        <v>63811208</v>
      </c>
      <c r="R5" s="102">
        <f t="shared" ref="R5:S5" si="1">SUM(R3/3)</f>
        <v>4447272.666666667</v>
      </c>
      <c r="S5" s="102">
        <f t="shared" si="1"/>
        <v>3164618.6666666665</v>
      </c>
    </row>
    <row r="6" spans="1:19" ht="20.25">
      <c r="A6" s="86"/>
      <c r="B6" s="86"/>
      <c r="C6" s="86"/>
      <c r="D6" s="86"/>
      <c r="E6" s="86"/>
      <c r="F6" s="86"/>
      <c r="G6" s="86"/>
      <c r="H6" s="46"/>
    </row>
    <row r="7" spans="1:19" ht="20.25">
      <c r="A7" s="86" t="s">
        <v>44</v>
      </c>
      <c r="B7" s="86" t="s">
        <v>63</v>
      </c>
      <c r="C7" s="86">
        <v>4358136</v>
      </c>
      <c r="D7" s="87">
        <f>SUM(C7*10%)</f>
        <v>435813.60000000003</v>
      </c>
      <c r="E7" s="87">
        <f>SUM((C7-D7)-42500)*10%</f>
        <v>387982.24</v>
      </c>
      <c r="F7" s="97">
        <f>(C7-(C7*10%))*3.5%</f>
        <v>137281.28400000001</v>
      </c>
      <c r="G7" s="98">
        <f>+((C7-(C7*10%))*9.5%)-F7</f>
        <v>235339.34399999995</v>
      </c>
      <c r="H7" s="46"/>
      <c r="I7" s="95">
        <f>C7-E7</f>
        <v>3970153.76</v>
      </c>
      <c r="K7" t="s">
        <v>44</v>
      </c>
      <c r="L7">
        <v>13074409</v>
      </c>
      <c r="M7" t="s">
        <v>58</v>
      </c>
      <c r="P7" t="s">
        <v>44</v>
      </c>
      <c r="Q7">
        <v>8426877</v>
      </c>
      <c r="R7" t="s">
        <v>58</v>
      </c>
    </row>
    <row r="8" spans="1:19" ht="20.25">
      <c r="A8" s="86"/>
      <c r="B8" s="86"/>
      <c r="C8" s="86"/>
      <c r="D8" s="86"/>
      <c r="E8" s="86"/>
      <c r="F8" s="86"/>
      <c r="G8" s="86"/>
      <c r="H8" s="46"/>
      <c r="L8" s="95">
        <f>SUM(L7/3)</f>
        <v>4358136.333333333</v>
      </c>
      <c r="M8" t="s">
        <v>59</v>
      </c>
      <c r="Q8" s="95">
        <f>SUM(Q7/3)</f>
        <v>2808959</v>
      </c>
      <c r="R8" t="s">
        <v>59</v>
      </c>
    </row>
    <row r="9" spans="1:19" ht="20.25">
      <c r="A9" s="86" t="s">
        <v>45</v>
      </c>
      <c r="B9" s="86" t="s">
        <v>65</v>
      </c>
      <c r="C9" s="86">
        <v>72103400</v>
      </c>
      <c r="D9" s="87">
        <f>SUM(C9*10%)</f>
        <v>7210340</v>
      </c>
      <c r="E9" s="87">
        <v>5133455</v>
      </c>
      <c r="F9" s="97">
        <f>(C9-(C9*10%))*3.5%</f>
        <v>2271257.1</v>
      </c>
      <c r="G9" s="98">
        <v>3571387</v>
      </c>
      <c r="H9" s="46"/>
      <c r="I9" s="95">
        <f>C9-E9</f>
        <v>66969945</v>
      </c>
    </row>
    <row r="10" spans="1:19" ht="20.25">
      <c r="A10" s="46"/>
      <c r="B10" s="46"/>
      <c r="C10" s="46"/>
      <c r="D10" s="46"/>
      <c r="E10" s="46"/>
      <c r="F10" s="46"/>
      <c r="G10" s="46"/>
      <c r="H10" s="46"/>
    </row>
    <row r="11" spans="1:19" ht="20.25">
      <c r="A11" s="46"/>
      <c r="B11" s="46"/>
      <c r="C11" s="99">
        <f>C3+C5+C7+C9</f>
        <v>81261547.25</v>
      </c>
      <c r="D11" s="92">
        <f t="shared" ref="D11:H11" si="2">D3+D5+D7+D9</f>
        <v>8126154.7249999996</v>
      </c>
      <c r="E11" s="99">
        <f t="shared" si="2"/>
        <v>5944938.2525000004</v>
      </c>
      <c r="F11" s="92">
        <f t="shared" si="2"/>
        <v>2559738.7383750002</v>
      </c>
      <c r="G11" s="99">
        <f t="shared" si="2"/>
        <v>4065926.9515</v>
      </c>
      <c r="H11" s="92">
        <f t="shared" si="2"/>
        <v>0</v>
      </c>
      <c r="I11" s="95">
        <f>I3+I5+I7+I9</f>
        <v>75316608.997500002</v>
      </c>
    </row>
    <row r="12" spans="1:19" ht="20.25">
      <c r="A12" s="46"/>
      <c r="B12" s="46"/>
      <c r="C12" s="46"/>
      <c r="D12" s="46"/>
      <c r="E12" s="46"/>
      <c r="F12" s="46"/>
      <c r="G12" s="46"/>
      <c r="H12" s="46"/>
      <c r="L12" s="95">
        <f>L5-C3-C5-C7</f>
        <v>72103400.083333328</v>
      </c>
      <c r="M12" s="95">
        <f>M5-E3-E5-E7</f>
        <v>5133454.7475000005</v>
      </c>
      <c r="N12" s="95">
        <f>N5-G3-G5-G7</f>
        <v>3571387.0485</v>
      </c>
      <c r="Q12" s="95">
        <f>Q5-C18-C20-C22</f>
        <v>58013640.25</v>
      </c>
      <c r="R12" s="95">
        <f>R5-E18-E20-E22</f>
        <v>3938241.5691666673</v>
      </c>
      <c r="S12" s="95">
        <f>S5-G18-G20-G22</f>
        <v>2851550.0081666666</v>
      </c>
    </row>
    <row r="13" spans="1:19" ht="20.25">
      <c r="A13" s="46"/>
      <c r="B13" s="46"/>
      <c r="C13" s="46"/>
      <c r="D13" s="46"/>
      <c r="E13" s="46"/>
      <c r="F13" s="46"/>
      <c r="G13" s="46"/>
      <c r="H13" s="46"/>
      <c r="L13" s="95"/>
    </row>
    <row r="16" spans="1:19">
      <c r="A16" s="100" t="s">
        <v>60</v>
      </c>
      <c r="B16" s="86"/>
      <c r="C16" s="86"/>
      <c r="D16" s="86"/>
      <c r="E16" s="86"/>
      <c r="F16" s="86"/>
      <c r="G16" s="86"/>
    </row>
    <row r="17" spans="1:9">
      <c r="A17" s="86"/>
      <c r="B17" s="86"/>
      <c r="C17" s="86"/>
      <c r="D17" s="86" t="s">
        <v>57</v>
      </c>
      <c r="E17" s="86" t="s">
        <v>41</v>
      </c>
      <c r="F17" s="86" t="s">
        <v>56</v>
      </c>
      <c r="G17" s="86" t="s">
        <v>42</v>
      </c>
    </row>
    <row r="18" spans="1:9">
      <c r="A18" s="86" t="s">
        <v>40</v>
      </c>
      <c r="B18" s="86" t="s">
        <v>69</v>
      </c>
      <c r="C18" s="86">
        <f>1313762*1.25</f>
        <v>1642202.5</v>
      </c>
      <c r="D18" s="87">
        <f>SUM(C18*10%)</f>
        <v>164220.25</v>
      </c>
      <c r="E18" s="87">
        <f>SUM((C18-D18)-42500)*10%</f>
        <v>143548.22500000001</v>
      </c>
      <c r="F18" s="97">
        <f>(C18-(C18*10%))*3.5%</f>
        <v>51729.378750000003</v>
      </c>
      <c r="G18" s="98">
        <f>+((C18-(C18*10%))*9.5%)-F18</f>
        <v>88678.934999999998</v>
      </c>
      <c r="I18" s="95">
        <f>C18-E18</f>
        <v>1498654.2749999999</v>
      </c>
    </row>
    <row r="19" spans="1:9">
      <c r="A19" s="86"/>
      <c r="B19" s="86"/>
      <c r="C19" s="86"/>
      <c r="D19" s="86"/>
      <c r="E19" s="86"/>
      <c r="F19" s="86"/>
      <c r="G19" s="86"/>
    </row>
    <row r="20" spans="1:9">
      <c r="A20" s="86" t="s">
        <v>43</v>
      </c>
      <c r="B20" s="86" t="s">
        <v>66</v>
      </c>
      <c r="C20" s="86">
        <f>1077125*1.25</f>
        <v>1346406.25</v>
      </c>
      <c r="D20" s="87">
        <f>SUM(C20*10%)</f>
        <v>134640.625</v>
      </c>
      <c r="E20" s="87">
        <f>SUM((C20-D20)-42500)*10%</f>
        <v>116926.5625</v>
      </c>
      <c r="F20" s="97">
        <f>(C20-(C20*10%))*3.5%</f>
        <v>42411.796875000007</v>
      </c>
      <c r="G20" s="98">
        <f>+((C20-(C20*10%))*9.5%)-F20</f>
        <v>72705.9375</v>
      </c>
      <c r="I20" s="95">
        <f>C20-E20</f>
        <v>1229479.6875</v>
      </c>
    </row>
    <row r="21" spans="1:9">
      <c r="A21" s="86"/>
      <c r="B21" s="86"/>
      <c r="C21" s="86"/>
      <c r="D21" s="86"/>
      <c r="E21" s="86"/>
      <c r="F21" s="86"/>
      <c r="G21" s="86"/>
    </row>
    <row r="22" spans="1:9">
      <c r="A22" s="86" t="s">
        <v>44</v>
      </c>
      <c r="B22" s="86" t="s">
        <v>67</v>
      </c>
      <c r="C22" s="86">
        <v>2808959</v>
      </c>
      <c r="D22" s="87">
        <f>SUM(C22*10%)</f>
        <v>280895.90000000002</v>
      </c>
      <c r="E22" s="87">
        <f>SUM((C22-D22)-42500)*10%</f>
        <v>248556.31000000003</v>
      </c>
      <c r="F22" s="97">
        <f>(C22-(C22*10%))*3.5%</f>
        <v>88482.208500000008</v>
      </c>
      <c r="G22" s="98">
        <f>+((C22-(C22*10%))*9.5%)-F22</f>
        <v>151683.78599999999</v>
      </c>
      <c r="I22" s="95">
        <f>C22-E22</f>
        <v>2560402.69</v>
      </c>
    </row>
    <row r="23" spans="1:9">
      <c r="A23" s="86"/>
      <c r="B23" s="86"/>
      <c r="C23" s="86"/>
      <c r="D23" s="86"/>
      <c r="E23" s="86"/>
      <c r="F23" s="86"/>
      <c r="G23" s="86"/>
    </row>
    <row r="24" spans="1:9">
      <c r="A24" s="86" t="s">
        <v>45</v>
      </c>
      <c r="B24" s="86" t="s">
        <v>68</v>
      </c>
      <c r="C24" s="86">
        <v>58013640</v>
      </c>
      <c r="D24" s="87">
        <f>SUM(C24*10%)</f>
        <v>5801364</v>
      </c>
      <c r="E24" s="87">
        <v>3938242</v>
      </c>
      <c r="F24" s="97">
        <f>(C24-(C24*10%))*3.5%</f>
        <v>1827429.6600000001</v>
      </c>
      <c r="G24" s="98">
        <v>2851550</v>
      </c>
      <c r="I24" s="95">
        <f>C24-E24</f>
        <v>54075398</v>
      </c>
    </row>
    <row r="25" spans="1:9" ht="20.25">
      <c r="A25" s="46"/>
      <c r="B25" s="46"/>
      <c r="C25" s="46"/>
      <c r="D25" s="46"/>
      <c r="E25" s="46"/>
      <c r="F25" s="46"/>
      <c r="G25" s="46"/>
    </row>
    <row r="26" spans="1:9" ht="20.25">
      <c r="A26" s="46"/>
      <c r="B26" s="46"/>
      <c r="C26" s="99">
        <f>C18+C20+C22+C24</f>
        <v>63811207.75</v>
      </c>
      <c r="D26" s="92">
        <f t="shared" ref="D26:G26" si="3">D18+D20+D22+D24</f>
        <v>6381120.7750000004</v>
      </c>
      <c r="E26" s="99">
        <f t="shared" si="3"/>
        <v>4447273.0975000001</v>
      </c>
      <c r="F26" s="92">
        <f t="shared" si="3"/>
        <v>2010053.0441250002</v>
      </c>
      <c r="G26" s="99">
        <f t="shared" si="3"/>
        <v>3164618.6584999999</v>
      </c>
      <c r="I26" s="95">
        <f>I18+I20+I22+I24</f>
        <v>59363934.652500004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topLeftCell="A12" workbookViewId="0">
      <selection activeCell="A17" sqref="A17:XFD17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48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70</v>
      </c>
      <c r="D9" s="130"/>
      <c r="E9" s="130"/>
    </row>
    <row r="10" spans="1:5" ht="40.5">
      <c r="A10" s="130"/>
      <c r="B10" s="131"/>
      <c r="C10" s="94" t="s">
        <v>20</v>
      </c>
      <c r="D10" s="94" t="s">
        <v>21</v>
      </c>
      <c r="E10" s="93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113.74840544482255</v>
      </c>
      <c r="D12" s="21">
        <f t="shared" ref="D12" si="0">+D13/D11</f>
        <v>65.147814778804062</v>
      </c>
      <c r="E12" s="21">
        <f>+E13/E11</f>
        <v>21.715938259601362</v>
      </c>
    </row>
    <row r="13" spans="1:5">
      <c r="A13" s="75" t="s">
        <v>11</v>
      </c>
      <c r="B13" s="76" t="s">
        <v>2</v>
      </c>
      <c r="C13" s="79">
        <f>SUM(C15+C29+C30+C31+C32+C33)</f>
        <v>467960.94</v>
      </c>
      <c r="D13" s="21">
        <f t="shared" ref="D13" si="1">SUM(D15+D29+D30+D31+D32+D33)</f>
        <v>268018.10999999993</v>
      </c>
      <c r="E13" s="79">
        <f>SUM(E15+E29+E30+E31+E32+E33)</f>
        <v>89339.37000000001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79">
        <f>SUM(C17+C20+C23+C26)</f>
        <v>301528.5</v>
      </c>
      <c r="D15" s="79">
        <f>SUM(D17+D20+D23+D26)</f>
        <v>226409.99999999997</v>
      </c>
      <c r="E15" s="19">
        <f>SUM(E17+E20+E23+E26)</f>
        <v>75470.000000000015</v>
      </c>
    </row>
    <row r="16" spans="1:5">
      <c r="A16" s="80" t="s">
        <v>1</v>
      </c>
      <c r="B16" s="81"/>
      <c r="C16" s="21"/>
      <c r="D16" s="21"/>
      <c r="E16" s="21"/>
    </row>
    <row r="17" spans="1:11">
      <c r="A17" s="82" t="s">
        <v>13</v>
      </c>
      <c r="B17" s="76" t="s">
        <v>2</v>
      </c>
      <c r="C17" s="88">
        <f>SUM(+E17*12)</f>
        <v>14725.199999999999</v>
      </c>
      <c r="D17" s="88">
        <f>SUM(E17*3)</f>
        <v>3681.2999999999997</v>
      </c>
      <c r="E17" s="89">
        <v>1227.0999999999999</v>
      </c>
      <c r="F17" s="48"/>
      <c r="H17" s="48"/>
      <c r="K17" s="4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:D31" si="2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1636.1333333333332</v>
      </c>
      <c r="D19" s="79">
        <f>SUM(E19*3)</f>
        <v>409.0333333333333</v>
      </c>
      <c r="E19" s="79">
        <f>+E17/E18</f>
        <v>136.34444444444443</v>
      </c>
    </row>
    <row r="20" spans="1:11">
      <c r="A20" s="82" t="s">
        <v>23</v>
      </c>
      <c r="B20" s="76" t="s">
        <v>2</v>
      </c>
      <c r="C20" s="88">
        <f>SUM(+E20*3)</f>
        <v>201370.5</v>
      </c>
      <c r="D20" s="88">
        <f>SUM(E20*3)</f>
        <v>201370.5</v>
      </c>
      <c r="E20" s="88">
        <f>66969.9+153.6</f>
        <v>67123.5</v>
      </c>
      <c r="F20" s="48"/>
      <c r="H20" s="48"/>
      <c r="K20" s="46">
        <v>261967015</v>
      </c>
    </row>
    <row r="21" spans="1:11">
      <c r="A21" s="78" t="s">
        <v>4</v>
      </c>
      <c r="B21" s="83" t="s">
        <v>3</v>
      </c>
      <c r="C21" s="79">
        <f>+E21</f>
        <v>242</v>
      </c>
      <c r="D21" s="79">
        <f t="shared" ref="D21" si="3">SUM(E21)</f>
        <v>242</v>
      </c>
      <c r="E21" s="79">
        <v>242</v>
      </c>
    </row>
    <row r="22" spans="1:11" ht="21.95" customHeight="1">
      <c r="A22" s="78" t="s">
        <v>27</v>
      </c>
      <c r="B22" s="76" t="s">
        <v>28</v>
      </c>
      <c r="C22" s="79">
        <f>SUM(+E22*12)</f>
        <v>3328.4380165289258</v>
      </c>
      <c r="D22" s="79">
        <f>SUM(E22*3)</f>
        <v>832.10950413223145</v>
      </c>
      <c r="E22" s="79">
        <f>+E20/E21</f>
        <v>277.36983471074382</v>
      </c>
    </row>
    <row r="23" spans="1:11" ht="39">
      <c r="A23" s="84" t="s">
        <v>26</v>
      </c>
      <c r="B23" s="76" t="s">
        <v>2</v>
      </c>
      <c r="C23" s="88">
        <f>SUM(+E23*12)</f>
        <v>37791.600000000006</v>
      </c>
      <c r="D23" s="88">
        <f>SUM(E23*3)</f>
        <v>9447.9000000000015</v>
      </c>
      <c r="E23" s="88">
        <v>3149.3</v>
      </c>
      <c r="F23" s="48"/>
      <c r="H23" s="48"/>
      <c r="K23" s="4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4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2907.0461538461541</v>
      </c>
      <c r="D25" s="79">
        <f>SUM(E25*3)</f>
        <v>726.76153846153852</v>
      </c>
      <c r="E25" s="79">
        <f>+E23/E24</f>
        <v>242.25384615384615</v>
      </c>
    </row>
    <row r="26" spans="1:11">
      <c r="A26" s="82" t="s">
        <v>24</v>
      </c>
      <c r="B26" s="76" t="s">
        <v>2</v>
      </c>
      <c r="C26" s="88">
        <f>SUM(+E26*12)</f>
        <v>47641.2</v>
      </c>
      <c r="D26" s="88">
        <f>SUM(E26*3)</f>
        <v>11910.3</v>
      </c>
      <c r="E26" s="88">
        <v>3970.1</v>
      </c>
      <c r="F26" s="48"/>
      <c r="H26" s="48"/>
      <c r="K26" s="46">
        <v>22588031</v>
      </c>
    </row>
    <row r="27" spans="1:11">
      <c r="A27" s="78" t="s">
        <v>4</v>
      </c>
      <c r="B27" s="83" t="s">
        <v>3</v>
      </c>
      <c r="C27" s="79">
        <f>+E27</f>
        <v>50</v>
      </c>
      <c r="D27" s="79">
        <f t="shared" ref="D27" si="5">SUM(E27)</f>
        <v>50</v>
      </c>
      <c r="E27" s="79">
        <v>50</v>
      </c>
    </row>
    <row r="28" spans="1:11" ht="21.95" customHeight="1">
      <c r="A28" s="78" t="s">
        <v>27</v>
      </c>
      <c r="B28" s="76" t="s">
        <v>28</v>
      </c>
      <c r="C28" s="79">
        <f>SUM(+E28*12)</f>
        <v>952.82400000000007</v>
      </c>
      <c r="D28" s="79">
        <f>SUM(E28*3)</f>
        <v>238.20600000000002</v>
      </c>
      <c r="E28" s="79">
        <f>+E26/E27</f>
        <v>79.402000000000001</v>
      </c>
    </row>
    <row r="29" spans="1:11">
      <c r="A29" s="75" t="s">
        <v>5</v>
      </c>
      <c r="B29" s="76" t="s">
        <v>2</v>
      </c>
      <c r="C29" s="88">
        <f>SUM(+E29*12)</f>
        <v>120129.59999999999</v>
      </c>
      <c r="D29" s="88">
        <f>SUM(E29*3)</f>
        <v>30032.399999999998</v>
      </c>
      <c r="E29" s="88">
        <f>5944.9+4065.9</f>
        <v>10010.799999999999</v>
      </c>
      <c r="F29" s="48"/>
      <c r="H29" s="48"/>
      <c r="K29" s="46">
        <v>1411765</v>
      </c>
    </row>
    <row r="30" spans="1:11" ht="36.75">
      <c r="A30" s="85" t="s">
        <v>6</v>
      </c>
      <c r="B30" s="76" t="s">
        <v>2</v>
      </c>
      <c r="C30" s="88">
        <f>SUM(+E30*12)</f>
        <v>43070.400000000001</v>
      </c>
      <c r="D30" s="88">
        <f>SUM(E30*3)</f>
        <v>10767.6</v>
      </c>
      <c r="E30" s="88">
        <f>1173.2+2414.1+1.9</f>
        <v>3589.2000000000003</v>
      </c>
      <c r="K30" s="46">
        <v>948192</v>
      </c>
    </row>
    <row r="31" spans="1:11">
      <c r="A31" s="85" t="s">
        <v>7</v>
      </c>
      <c r="B31" s="76" t="s">
        <v>2</v>
      </c>
      <c r="C31" s="88">
        <f t="shared" ref="C31" si="6">SUM(+E31*3)</f>
        <v>0</v>
      </c>
      <c r="D31" s="88">
        <f t="shared" si="2"/>
        <v>0</v>
      </c>
      <c r="E31" s="91"/>
      <c r="K31" s="46">
        <v>348257</v>
      </c>
    </row>
    <row r="32" spans="1:11" ht="36.75">
      <c r="A32" s="85" t="s">
        <v>8</v>
      </c>
      <c r="B32" s="76" t="s">
        <v>2</v>
      </c>
      <c r="C32" s="88">
        <f>SUM(+E32*12)</f>
        <v>20.04</v>
      </c>
      <c r="D32" s="88">
        <f>SUM(E32*3)</f>
        <v>5.01</v>
      </c>
      <c r="E32" s="88">
        <v>1.67</v>
      </c>
    </row>
    <row r="33" spans="1:11" ht="37.5" customHeight="1">
      <c r="A33" s="85" t="s">
        <v>9</v>
      </c>
      <c r="B33" s="76" t="s">
        <v>2</v>
      </c>
      <c r="C33" s="88">
        <f>SUM(+E33*12)</f>
        <v>3212.3999999999996</v>
      </c>
      <c r="D33" s="91">
        <f>SUM(E33*3)</f>
        <v>803.09999999999991</v>
      </c>
      <c r="E33" s="88">
        <f>267.7</f>
        <v>267.7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6"/>
  <sheetViews>
    <sheetView topLeftCell="A25" workbookViewId="0">
      <selection activeCell="E33" sqref="E33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71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70</v>
      </c>
      <c r="D9" s="130"/>
      <c r="E9" s="130"/>
    </row>
    <row r="10" spans="1:5" ht="40.5">
      <c r="A10" s="130"/>
      <c r="B10" s="131"/>
      <c r="C10" s="104" t="s">
        <v>20</v>
      </c>
      <c r="D10" s="104" t="s">
        <v>21</v>
      </c>
      <c r="E10" s="103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281.056120563928</v>
      </c>
      <c r="D12" s="21">
        <f t="shared" ref="D12" si="0">+D13/D11</f>
        <v>158.63736509479827</v>
      </c>
      <c r="E12" s="21">
        <f>+E13/E11</f>
        <v>91.746801166747687</v>
      </c>
    </row>
    <row r="13" spans="1:5">
      <c r="A13" s="75" t="s">
        <v>11</v>
      </c>
      <c r="B13" s="76" t="s">
        <v>2</v>
      </c>
      <c r="C13" s="19">
        <f>SUM(C15+C29+C30+C31+C32+C33)</f>
        <v>1156264.8799999999</v>
      </c>
      <c r="D13" s="19">
        <f>SUM(D15+D29+D30+D31+D32+D33)</f>
        <v>652634.12000000011</v>
      </c>
      <c r="E13" s="19">
        <f>SUM(E15+E29+E30+E31+E32+E33)</f>
        <v>377446.33999999997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19">
        <f>SUM(C17+C20+C23+C26)</f>
        <v>944652.3</v>
      </c>
      <c r="D15" s="19">
        <f>SUM(D17+D20+D23+D26)</f>
        <v>548098.1</v>
      </c>
      <c r="E15" s="19">
        <f>SUM(E17+E20+E23+E26)</f>
        <v>320544.59999999998</v>
      </c>
    </row>
    <row r="16" spans="1:5">
      <c r="A16" s="80" t="s">
        <v>1</v>
      </c>
      <c r="B16" s="81"/>
      <c r="C16" s="21"/>
      <c r="D16" s="21"/>
      <c r="E16" s="21"/>
    </row>
    <row r="17" spans="1:11">
      <c r="A17" s="82" t="s">
        <v>72</v>
      </c>
      <c r="B17" s="76" t="s">
        <v>2</v>
      </c>
      <c r="C17" s="88">
        <v>87694.1</v>
      </c>
      <c r="D17" s="88">
        <v>67489.100000000006</v>
      </c>
      <c r="E17" s="89">
        <v>15368.1</v>
      </c>
      <c r="F17" s="48"/>
      <c r="H17" s="48"/>
      <c r="K17" s="4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" si="1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20490.8</v>
      </c>
      <c r="D19" s="79">
        <f>SUM(E19*3)</f>
        <v>5122.7</v>
      </c>
      <c r="E19" s="79">
        <f>+E17/E18</f>
        <v>1707.5666666666666</v>
      </c>
    </row>
    <row r="20" spans="1:11">
      <c r="A20" s="82" t="s">
        <v>23</v>
      </c>
      <c r="B20" s="76" t="s">
        <v>2</v>
      </c>
      <c r="C20" s="88">
        <v>692539.6</v>
      </c>
      <c r="D20" s="88">
        <v>354389.9</v>
      </c>
      <c r="E20" s="88">
        <v>257083.6</v>
      </c>
      <c r="F20" s="48"/>
      <c r="H20" s="48"/>
      <c r="K20" s="46">
        <v>261967015</v>
      </c>
    </row>
    <row r="21" spans="1:11">
      <c r="A21" s="78" t="s">
        <v>4</v>
      </c>
      <c r="B21" s="83" t="s">
        <v>3</v>
      </c>
      <c r="C21" s="79">
        <f>+E21</f>
        <v>242</v>
      </c>
      <c r="D21" s="79">
        <f t="shared" ref="D21" si="2">SUM(E21)</f>
        <v>242</v>
      </c>
      <c r="E21" s="79">
        <v>242</v>
      </c>
    </row>
    <row r="22" spans="1:11" ht="21.95" customHeight="1">
      <c r="A22" s="78" t="s">
        <v>27</v>
      </c>
      <c r="B22" s="76" t="s">
        <v>28</v>
      </c>
      <c r="C22" s="79">
        <f>SUM(+E22*12)</f>
        <v>12747.947107438016</v>
      </c>
      <c r="D22" s="79">
        <f>SUM(E22*3)</f>
        <v>3186.9867768595041</v>
      </c>
      <c r="E22" s="79">
        <f>+E20/E21</f>
        <v>1062.3289256198348</v>
      </c>
    </row>
    <row r="23" spans="1:11" ht="39">
      <c r="A23" s="84" t="s">
        <v>26</v>
      </c>
      <c r="B23" s="76" t="s">
        <v>2</v>
      </c>
      <c r="C23" s="88">
        <v>87569.3</v>
      </c>
      <c r="D23" s="88">
        <v>68749.5</v>
      </c>
      <c r="E23" s="88">
        <v>23545.3</v>
      </c>
      <c r="F23" s="48"/>
      <c r="H23" s="48"/>
      <c r="K23" s="4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3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21734.123076923075</v>
      </c>
      <c r="D25" s="79">
        <f>SUM(E25*3)</f>
        <v>5433.5307692307688</v>
      </c>
      <c r="E25" s="79">
        <f>+E23/E24</f>
        <v>1811.176923076923</v>
      </c>
    </row>
    <row r="26" spans="1:11">
      <c r="A26" s="82" t="s">
        <v>24</v>
      </c>
      <c r="B26" s="76" t="s">
        <v>2</v>
      </c>
      <c r="C26" s="88">
        <v>76849.3</v>
      </c>
      <c r="D26" s="88">
        <v>57469.599999999999</v>
      </c>
      <c r="E26" s="88">
        <v>24547.599999999999</v>
      </c>
      <c r="F26" s="48"/>
      <c r="H26" s="48"/>
      <c r="K26" s="46">
        <v>22588031</v>
      </c>
    </row>
    <row r="27" spans="1:11">
      <c r="A27" s="78" t="s">
        <v>4</v>
      </c>
      <c r="B27" s="83" t="s">
        <v>3</v>
      </c>
      <c r="C27" s="79">
        <f>+E27</f>
        <v>50</v>
      </c>
      <c r="D27" s="79">
        <f t="shared" ref="D27" si="4">SUM(E27)</f>
        <v>50</v>
      </c>
      <c r="E27" s="79">
        <v>50</v>
      </c>
    </row>
    <row r="28" spans="1:11" ht="21.95" customHeight="1">
      <c r="A28" s="78" t="s">
        <v>27</v>
      </c>
      <c r="B28" s="76" t="s">
        <v>28</v>
      </c>
      <c r="C28" s="79">
        <f t="shared" ref="C28:C32" si="5">SUM(+E28*12)</f>
        <v>5891.424</v>
      </c>
      <c r="D28" s="79">
        <f>SUM(E28*3)</f>
        <v>1472.856</v>
      </c>
      <c r="E28" s="79">
        <f>+E26/E27</f>
        <v>490.952</v>
      </c>
    </row>
    <row r="29" spans="1:11">
      <c r="A29" s="75" t="s">
        <v>5</v>
      </c>
      <c r="B29" s="76" t="s">
        <v>2</v>
      </c>
      <c r="C29" s="88">
        <v>126253.5</v>
      </c>
      <c r="D29" s="88">
        <v>70127.5</v>
      </c>
      <c r="E29" s="88">
        <v>40094.9</v>
      </c>
      <c r="F29" s="48"/>
      <c r="H29" s="48"/>
      <c r="K29" s="46">
        <v>1411765</v>
      </c>
    </row>
    <row r="30" spans="1:11" ht="36.75">
      <c r="A30" s="85" t="s">
        <v>6</v>
      </c>
      <c r="B30" s="76" t="s">
        <v>2</v>
      </c>
      <c r="C30" s="88">
        <f t="shared" si="5"/>
        <v>38155.68</v>
      </c>
      <c r="D30" s="88">
        <f>SUM(E30*3)</f>
        <v>9538.92</v>
      </c>
      <c r="E30" s="88">
        <f>2414.1+762.4+2.1+1.04</f>
        <v>3179.64</v>
      </c>
      <c r="K30" s="46">
        <v>948192</v>
      </c>
    </row>
    <row r="31" spans="1:11">
      <c r="A31" s="85" t="s">
        <v>7</v>
      </c>
      <c r="B31" s="76" t="s">
        <v>2</v>
      </c>
      <c r="C31" s="88">
        <f t="shared" si="5"/>
        <v>757.2</v>
      </c>
      <c r="D31" s="88">
        <f>SUM(E31*3)</f>
        <v>189.3</v>
      </c>
      <c r="E31" s="91">
        <v>63.1</v>
      </c>
      <c r="G31" s="46">
        <v>63.1</v>
      </c>
      <c r="K31" s="46">
        <v>348257</v>
      </c>
    </row>
    <row r="32" spans="1:11" ht="36.75">
      <c r="A32" s="85" t="s">
        <v>8</v>
      </c>
      <c r="B32" s="76" t="s">
        <v>2</v>
      </c>
      <c r="C32" s="88">
        <f t="shared" si="5"/>
        <v>78</v>
      </c>
      <c r="D32" s="88">
        <f>SUM(E32*3)+5</f>
        <v>24.5</v>
      </c>
      <c r="E32" s="88">
        <f>6.5</f>
        <v>6.5</v>
      </c>
    </row>
    <row r="33" spans="1:11" ht="37.5" customHeight="1">
      <c r="A33" s="85" t="s">
        <v>9</v>
      </c>
      <c r="B33" s="76" t="s">
        <v>2</v>
      </c>
      <c r="C33" s="88">
        <f>3212.4+43155.8</f>
        <v>46368.200000000004</v>
      </c>
      <c r="D33" s="88">
        <f>803.1+23852.7</f>
        <v>24655.8</v>
      </c>
      <c r="E33" s="88">
        <f>25.6+62.3+13469.7</f>
        <v>13557.6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6"/>
  <sheetViews>
    <sheetView topLeftCell="A28" workbookViewId="0">
      <selection activeCell="E33" sqref="E33"/>
    </sheetView>
  </sheetViews>
  <sheetFormatPr defaultColWidth="9.140625" defaultRowHeight="20.25"/>
  <cols>
    <col min="1" max="1" width="69.42578125" style="46" customWidth="1"/>
    <col min="2" max="2" width="10.85546875" style="47" customWidth="1"/>
    <col min="3" max="3" width="12.7109375" style="46" customWidth="1"/>
    <col min="4" max="4" width="12.5703125" style="46" customWidth="1"/>
    <col min="5" max="5" width="12" style="46" customWidth="1"/>
    <col min="6" max="6" width="19" style="46" customWidth="1"/>
    <col min="7" max="7" width="16.5703125" style="46" customWidth="1"/>
    <col min="8" max="8" width="26.85546875" style="46" customWidth="1"/>
    <col min="9" max="10" width="9.140625" style="46"/>
    <col min="11" max="11" width="14.85546875" style="46" customWidth="1"/>
    <col min="12" max="16384" width="9.140625" style="46"/>
  </cols>
  <sheetData>
    <row r="1" spans="1:5">
      <c r="A1" s="127" t="s">
        <v>15</v>
      </c>
      <c r="B1" s="127"/>
      <c r="C1" s="127"/>
      <c r="D1" s="127"/>
      <c r="E1" s="127"/>
    </row>
    <row r="2" spans="1:5">
      <c r="A2" s="127" t="s">
        <v>73</v>
      </c>
      <c r="B2" s="127"/>
      <c r="C2" s="127"/>
      <c r="D2" s="127"/>
      <c r="E2" s="127"/>
    </row>
    <row r="3" spans="1:5">
      <c r="A3" s="70"/>
    </row>
    <row r="4" spans="1:5">
      <c r="A4" s="128"/>
      <c r="B4" s="128"/>
      <c r="C4" s="128"/>
      <c r="D4" s="128"/>
      <c r="E4" s="128"/>
    </row>
    <row r="5" spans="1:5">
      <c r="A5" s="129" t="s">
        <v>17</v>
      </c>
      <c r="B5" s="129"/>
      <c r="C5" s="129"/>
      <c r="D5" s="129"/>
      <c r="E5" s="129"/>
    </row>
    <row r="6" spans="1:5">
      <c r="A6" s="71"/>
    </row>
    <row r="7" spans="1:5">
      <c r="A7" s="72" t="s">
        <v>18</v>
      </c>
    </row>
    <row r="8" spans="1:5">
      <c r="A8" s="70" t="s">
        <v>30</v>
      </c>
    </row>
    <row r="9" spans="1:5">
      <c r="A9" s="130" t="s">
        <v>29</v>
      </c>
      <c r="B9" s="131" t="s">
        <v>19</v>
      </c>
      <c r="C9" s="130" t="s">
        <v>70</v>
      </c>
      <c r="D9" s="130"/>
      <c r="E9" s="130"/>
    </row>
    <row r="10" spans="1:5" ht="40.5">
      <c r="A10" s="130"/>
      <c r="B10" s="131"/>
      <c r="C10" s="106" t="s">
        <v>20</v>
      </c>
      <c r="D10" s="106" t="s">
        <v>21</v>
      </c>
      <c r="E10" s="105" t="s">
        <v>14</v>
      </c>
    </row>
    <row r="11" spans="1:5">
      <c r="A11" s="75" t="s">
        <v>22</v>
      </c>
      <c r="B11" s="76" t="s">
        <v>10</v>
      </c>
      <c r="C11" s="77">
        <v>4114</v>
      </c>
      <c r="D11" s="77">
        <v>4114</v>
      </c>
      <c r="E11" s="77">
        <v>4114</v>
      </c>
    </row>
    <row r="12" spans="1:5">
      <c r="A12" s="78" t="s">
        <v>25</v>
      </c>
      <c r="B12" s="76" t="s">
        <v>2</v>
      </c>
      <c r="C12" s="21">
        <f>+C13/C11</f>
        <v>282.5556392805056</v>
      </c>
      <c r="D12" s="21">
        <f t="shared" ref="D12" si="0">+D13/D11</f>
        <v>212.04978123480797</v>
      </c>
      <c r="E12" s="21">
        <f>+E13/E11</f>
        <v>55.671487603305785</v>
      </c>
    </row>
    <row r="13" spans="1:5">
      <c r="A13" s="75" t="s">
        <v>11</v>
      </c>
      <c r="B13" s="76" t="s">
        <v>2</v>
      </c>
      <c r="C13" s="19">
        <f>SUM(C15+C29+C30+C31+C32+C33)</f>
        <v>1162433.9000000001</v>
      </c>
      <c r="D13" s="19">
        <f>SUM(D15+D29+D30+D31+D32+D33)</f>
        <v>872372.79999999993</v>
      </c>
      <c r="E13" s="19">
        <f>SUM(E15+E29+E30+E31+E32+E33)</f>
        <v>229032.5</v>
      </c>
    </row>
    <row r="14" spans="1:5">
      <c r="A14" s="80" t="s">
        <v>0</v>
      </c>
      <c r="B14" s="81"/>
      <c r="C14" s="21"/>
      <c r="D14" s="21"/>
      <c r="E14" s="21"/>
    </row>
    <row r="15" spans="1:5">
      <c r="A15" s="75" t="s">
        <v>12</v>
      </c>
      <c r="B15" s="76" t="s">
        <v>2</v>
      </c>
      <c r="C15" s="19">
        <f>SUM(C17+C20+C23+C26)</f>
        <v>944652.3</v>
      </c>
      <c r="D15" s="19">
        <f>SUM(D17+D20+D23+D26)</f>
        <v>734238.39999999991</v>
      </c>
      <c r="E15" s="19">
        <f>SUM(E17+E20+E23+E26)</f>
        <v>186140.4</v>
      </c>
    </row>
    <row r="16" spans="1:5">
      <c r="A16" s="80" t="s">
        <v>1</v>
      </c>
      <c r="B16" s="81"/>
      <c r="C16" s="21"/>
      <c r="D16" s="21"/>
      <c r="E16" s="21"/>
    </row>
    <row r="17" spans="1:11">
      <c r="A17" s="82" t="s">
        <v>72</v>
      </c>
      <c r="B17" s="76" t="s">
        <v>2</v>
      </c>
      <c r="C17" s="88">
        <v>87694.1</v>
      </c>
      <c r="D17" s="88">
        <v>65248.6</v>
      </c>
      <c r="E17" s="89">
        <v>11524.3</v>
      </c>
      <c r="F17" s="48"/>
      <c r="H17" s="48"/>
      <c r="K17" s="46">
        <v>9121215</v>
      </c>
    </row>
    <row r="18" spans="1:11">
      <c r="A18" s="78" t="s">
        <v>4</v>
      </c>
      <c r="B18" s="83" t="s">
        <v>3</v>
      </c>
      <c r="C18" s="21">
        <f>+E18</f>
        <v>9</v>
      </c>
      <c r="D18" s="21">
        <f t="shared" ref="D18" si="1">SUM(E18)</f>
        <v>9</v>
      </c>
      <c r="E18" s="21">
        <v>9</v>
      </c>
    </row>
    <row r="19" spans="1:11" ht="21.95" customHeight="1">
      <c r="A19" s="78" t="s">
        <v>27</v>
      </c>
      <c r="B19" s="76" t="s">
        <v>28</v>
      </c>
      <c r="C19" s="79">
        <f>SUM(+E19*12)</f>
        <v>15365.733333333332</v>
      </c>
      <c r="D19" s="79">
        <f>SUM(E19*3)</f>
        <v>3841.4333333333329</v>
      </c>
      <c r="E19" s="79">
        <f>+E17/E18</f>
        <v>1280.4777777777776</v>
      </c>
    </row>
    <row r="20" spans="1:11">
      <c r="A20" s="82" t="s">
        <v>23</v>
      </c>
      <c r="B20" s="76" t="s">
        <v>2</v>
      </c>
      <c r="C20" s="88">
        <v>692539.6</v>
      </c>
      <c r="D20" s="88">
        <v>568487.69999999995</v>
      </c>
      <c r="E20" s="88">
        <v>150246.20000000001</v>
      </c>
      <c r="F20" s="48"/>
      <c r="H20" s="48"/>
      <c r="K20" s="46">
        <v>261967015</v>
      </c>
    </row>
    <row r="21" spans="1:11">
      <c r="A21" s="78" t="s">
        <v>4</v>
      </c>
      <c r="B21" s="83" t="s">
        <v>3</v>
      </c>
      <c r="C21" s="79">
        <f>+E21</f>
        <v>287</v>
      </c>
      <c r="D21" s="79">
        <f t="shared" ref="D21" si="2">SUM(E21)</f>
        <v>287</v>
      </c>
      <c r="E21" s="79">
        <v>287</v>
      </c>
    </row>
    <row r="22" spans="1:11" ht="21.95" customHeight="1">
      <c r="A22" s="78" t="s">
        <v>27</v>
      </c>
      <c r="B22" s="76" t="s">
        <v>28</v>
      </c>
      <c r="C22" s="79">
        <f>SUM(+E22*12)</f>
        <v>6282.0710801393725</v>
      </c>
      <c r="D22" s="79">
        <f>SUM(E22*3)</f>
        <v>1570.5177700348431</v>
      </c>
      <c r="E22" s="79">
        <f>+E20/E21</f>
        <v>523.50592334494775</v>
      </c>
    </row>
    <row r="23" spans="1:11" ht="39">
      <c r="A23" s="84" t="s">
        <v>26</v>
      </c>
      <c r="B23" s="76" t="s">
        <v>2</v>
      </c>
      <c r="C23" s="88">
        <v>87569.3</v>
      </c>
      <c r="D23" s="88">
        <v>53248.1</v>
      </c>
      <c r="E23" s="88">
        <v>14352.3</v>
      </c>
      <c r="F23" s="48"/>
      <c r="H23" s="48"/>
      <c r="K23" s="46">
        <v>9178626</v>
      </c>
    </row>
    <row r="24" spans="1:11">
      <c r="A24" s="78" t="s">
        <v>4</v>
      </c>
      <c r="B24" s="83" t="s">
        <v>3</v>
      </c>
      <c r="C24" s="79">
        <f>+E24</f>
        <v>13</v>
      </c>
      <c r="D24" s="79">
        <f t="shared" ref="D24" si="3">SUM(E24)</f>
        <v>13</v>
      </c>
      <c r="E24" s="79">
        <v>13</v>
      </c>
    </row>
    <row r="25" spans="1:11" ht="21.95" customHeight="1">
      <c r="A25" s="78" t="s">
        <v>27</v>
      </c>
      <c r="B25" s="76" t="s">
        <v>28</v>
      </c>
      <c r="C25" s="79">
        <f>SUM(+E25*12)</f>
        <v>13248.276923076923</v>
      </c>
      <c r="D25" s="79">
        <f>SUM(E25*3)</f>
        <v>3312.0692307692307</v>
      </c>
      <c r="E25" s="79">
        <f>+E23/E24</f>
        <v>1104.0230769230768</v>
      </c>
    </row>
    <row r="26" spans="1:11">
      <c r="A26" s="82" t="s">
        <v>24</v>
      </c>
      <c r="B26" s="76" t="s">
        <v>2</v>
      </c>
      <c r="C26" s="88">
        <v>76849.3</v>
      </c>
      <c r="D26" s="88">
        <v>47254</v>
      </c>
      <c r="E26" s="88">
        <v>10017.6</v>
      </c>
      <c r="F26" s="48"/>
      <c r="H26" s="48"/>
      <c r="K26" s="46">
        <v>22588031</v>
      </c>
    </row>
    <row r="27" spans="1:11">
      <c r="A27" s="78" t="s">
        <v>4</v>
      </c>
      <c r="B27" s="83" t="s">
        <v>3</v>
      </c>
      <c r="C27" s="79">
        <f>+E27</f>
        <v>50</v>
      </c>
      <c r="D27" s="79">
        <f t="shared" ref="D27" si="4">SUM(E27)</f>
        <v>50</v>
      </c>
      <c r="E27" s="79">
        <v>50</v>
      </c>
    </row>
    <row r="28" spans="1:11" ht="21.95" customHeight="1">
      <c r="A28" s="78" t="s">
        <v>27</v>
      </c>
      <c r="B28" s="76" t="s">
        <v>28</v>
      </c>
      <c r="C28" s="79">
        <f t="shared" ref="C28:C32" si="5">SUM(+E28*12)</f>
        <v>2404.2240000000002</v>
      </c>
      <c r="D28" s="79">
        <f>SUM(E28*3)</f>
        <v>601.05600000000004</v>
      </c>
      <c r="E28" s="79">
        <f>+E26/E27</f>
        <v>200.352</v>
      </c>
    </row>
    <row r="29" spans="1:11">
      <c r="A29" s="75" t="s">
        <v>5</v>
      </c>
      <c r="B29" s="76" t="s">
        <v>2</v>
      </c>
      <c r="C29" s="88">
        <v>126253.5</v>
      </c>
      <c r="D29" s="88">
        <v>95040</v>
      </c>
      <c r="E29" s="88">
        <v>24912.5</v>
      </c>
      <c r="F29" s="48"/>
      <c r="H29" s="48"/>
      <c r="K29" s="46">
        <v>1411765</v>
      </c>
    </row>
    <row r="30" spans="1:11" ht="36.75">
      <c r="A30" s="85" t="s">
        <v>6</v>
      </c>
      <c r="B30" s="76" t="s">
        <v>2</v>
      </c>
      <c r="C30" s="88">
        <f t="shared" si="5"/>
        <v>0</v>
      </c>
      <c r="D30" s="88">
        <f>SUM(E30*3)</f>
        <v>0</v>
      </c>
      <c r="E30" s="88"/>
      <c r="K30" s="46">
        <v>948192</v>
      </c>
    </row>
    <row r="31" spans="1:11">
      <c r="A31" s="85" t="s">
        <v>7</v>
      </c>
      <c r="B31" s="76" t="s">
        <v>2</v>
      </c>
      <c r="C31" s="88">
        <f t="shared" si="5"/>
        <v>2754</v>
      </c>
      <c r="D31" s="88">
        <f>SUM(E31*3)</f>
        <v>688.5</v>
      </c>
      <c r="E31" s="91">
        <v>229.5</v>
      </c>
      <c r="G31" s="46">
        <v>63.1</v>
      </c>
      <c r="K31" s="46">
        <v>348257</v>
      </c>
    </row>
    <row r="32" spans="1:11" ht="36.75">
      <c r="A32" s="85" t="s">
        <v>8</v>
      </c>
      <c r="B32" s="76" t="s">
        <v>2</v>
      </c>
      <c r="C32" s="88">
        <f t="shared" si="5"/>
        <v>0</v>
      </c>
      <c r="D32" s="88">
        <f>SUM(E32*3)</f>
        <v>0</v>
      </c>
      <c r="E32" s="88"/>
    </row>
    <row r="33" spans="1:11" ht="37.5" customHeight="1">
      <c r="A33" s="85" t="s">
        <v>9</v>
      </c>
      <c r="B33" s="76" t="s">
        <v>2</v>
      </c>
      <c r="C33" s="88">
        <f>3212.4+43155.8+D33</f>
        <v>88774.1</v>
      </c>
      <c r="D33" s="88">
        <f>803.1+23852.7+E33</f>
        <v>42405.899999999994</v>
      </c>
      <c r="E33" s="88">
        <v>17750.099999999999</v>
      </c>
      <c r="K33" s="46">
        <v>37609831</v>
      </c>
    </row>
    <row r="36" spans="1:11">
      <c r="F36" s="48"/>
      <c r="H36" s="4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Косшы</vt:lpstr>
      <vt:lpstr>1кв2019</vt:lpstr>
      <vt:lpstr>2кв2019</vt:lpstr>
      <vt:lpstr>3кв2019</vt:lpstr>
      <vt:lpstr>4кв2019</vt:lpstr>
      <vt:lpstr>Лист1</vt:lpstr>
      <vt:lpstr>1кв2020</vt:lpstr>
      <vt:lpstr>2кв2020</vt:lpstr>
      <vt:lpstr>3кв2020</vt:lpstr>
      <vt:lpstr>4кв2020</vt:lpstr>
      <vt:lpstr>1кв2021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2021-04-06T08:59:47Z</dcterms:modified>
</cp:coreProperties>
</file>